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1"/>
  </bookViews>
  <sheets>
    <sheet name="rawdata" sheetId="1" r:id="rId1"/>
    <sheet name="history" sheetId="2" r:id="rId2"/>
    <sheet name="charts" sheetId="3" r:id="rId3"/>
  </sheets>
  <definedNames/>
  <calcPr fullCalcOnLoad="1"/>
</workbook>
</file>

<file path=xl/sharedStrings.xml><?xml version="1.0" encoding="utf-8"?>
<sst xmlns="http://schemas.openxmlformats.org/spreadsheetml/2006/main" count="266" uniqueCount="158">
  <si>
    <t>1. What direction do you think theÂ S&amp;P500 index will move from this coming Monday'sÂ open to Friday'sÂ close (November 21st through November 25th)?</t>
  </si>
  <si>
    <t>2. Rate your confidence in your answer to Question #1 by estimating the probability you have correctly predicted next week's market move.</t>
  </si>
  <si>
    <t>3. For your answer to Question #1, please shareÂ what specific reason(s) you think the S&amp;P500 will be heading the direction you chose.</t>
  </si>
  <si>
    <t>4. How do you decide what amount of your trading portfolio to put into a trade? Do you use the same amount each time or is it different for each trade?</t>
  </si>
  <si>
    <t>5. AdditionalÂ Comments/Questions/Suggestions?</t>
  </si>
  <si>
    <t>Higher</t>
  </si>
  <si>
    <t>markets will move higher as liberal media settles down to a steady drone of same skepticism / pesemisom.</t>
  </si>
  <si>
    <t>3 to 5%</t>
  </si>
  <si>
    <t>Trend is up.</t>
  </si>
  <si>
    <t>seasonallity</t>
  </si>
  <si>
    <t xml:space="preserve">Because I still have puts left over from just before the election! </t>
  </si>
  <si>
    <t>Great question. I try to keep a similar amount unless I have a higher conviction/likelihood of a positive outcome.</t>
  </si>
  <si>
    <t xml:space="preserve">Sold WFC and C too soon, but glad for the huge pop. BAC calls went from .25 to $3 (total loss to profit); sold in increments all the way up! But would like to get back in if we get a decent dip. </t>
  </si>
  <si>
    <t>the short term trend is up. Turkey week is usually up</t>
  </si>
  <si>
    <t>Depends on what I'm trading. No</t>
  </si>
  <si>
    <t>Lower interest rates for longer even after Dec. hike.  Increasing buying volume with election over. Trump should be, largely, pro-business.</t>
  </si>
  <si>
    <t>I use 25 shares of any instrument I buy or sell, but can boost up to 50, 75 &amp; 100 shares.</t>
  </si>
  <si>
    <t>SEASONALITY</t>
  </si>
  <si>
    <t>QUANTITATIVE FACTOR ALGOS</t>
  </si>
  <si>
    <t>An assault on the all time highs for the S&amp;P should happen this week.</t>
  </si>
  <si>
    <t>A fixed percentage of the trading portfolio</t>
  </si>
  <si>
    <t>Use a % of my total stay pretty much in the same range each trade</t>
  </si>
  <si>
    <t>Turkey rally</t>
  </si>
  <si>
    <t>Price action.</t>
  </si>
  <si>
    <t>Rules for trading, although some times it is a heavy amount on different assets that show the same behaviour.</t>
  </si>
  <si>
    <t>month end window dressing and thanksgiving rally</t>
  </si>
  <si>
    <t>Scary market</t>
  </si>
  <si>
    <t>Different all the time</t>
  </si>
  <si>
    <t>None right now</t>
  </si>
  <si>
    <t xml:space="preserve">Holiday trading thin volume trend is place.  </t>
  </si>
  <si>
    <t>5% this rule has served me well over 30 years of trading</t>
  </si>
  <si>
    <t>it is the start of the holiday shopping season and it might turn out better than expected.</t>
  </si>
  <si>
    <t xml:space="preserve">Depends on account purpose and allocation.  Long term accounts that are allocated by size and style or sector will are more stable and have larger balances in each allocation and are re-balanced.  "sandbox" accounts where I have more specific selections, and trade more often are limited to 3-5% of the account, with a chuck of cash in the account to avoid having to track more than time will allow. </t>
  </si>
  <si>
    <t xml:space="preserve">President elect Trump, rising dollar, lower oil, technology, a lot of cash on the sidelines waiting for market direction. </t>
  </si>
  <si>
    <t>I am 60/40....Stock/Cash.  I invest 5% to 7% in any one trade.</t>
  </si>
  <si>
    <t>Have a happy Thanksgiving!</t>
  </si>
  <si>
    <t xml:space="preserve"> A restructuring of the new presidency in the financial industry</t>
  </si>
  <si>
    <t>500 to start</t>
  </si>
  <si>
    <t xml:space="preserve"> Please reveal the market update on the cause of debts increasing annually.</t>
  </si>
  <si>
    <t>Retail will rule the week and as customer glide into the stores and online Wall Street will love it.  Travel, retail, controlled government intervention...</t>
  </si>
  <si>
    <t>I only risk a very small percentage and equal weight each trying to calculate entry and exit points when factoring political and global influence and lowering relationship to overextendend balance sheets and excessive government intervention.</t>
  </si>
  <si>
    <t>Momentum is up. Election is over</t>
  </si>
  <si>
    <t>Similar for each trade</t>
  </si>
  <si>
    <t>None</t>
  </si>
  <si>
    <t>3%</t>
  </si>
  <si>
    <t>as long as we hold 2140 or better odds are we go up, and the Trump factors</t>
  </si>
  <si>
    <t xml:space="preserve">no real set amount as risk is defined before the trade is put on. </t>
  </si>
  <si>
    <t>while my gut says we are overdue for a correction, I also understand we can NOT fight the trend. The uptrend is still alive so I voted UP for next week</t>
  </si>
  <si>
    <t>Often different amounts as we may take some profits while retaining a partial position to hold for a big move. We often add back stock or ETFs when we think a pullback is complete and want to be back in a full position. It also depends if we are trading a "safety stock" or risking on a spec trade.</t>
  </si>
  <si>
    <t>global realignment</t>
  </si>
  <si>
    <t>different</t>
  </si>
  <si>
    <t>Everything else is going down so BTFD!!!!</t>
  </si>
  <si>
    <t>Depends on quality of trade signal</t>
  </si>
  <si>
    <t>MAGA!!!</t>
  </si>
  <si>
    <t>momentum could push the market higher</t>
  </si>
  <si>
    <t>If there is a good idea I use a larger portion, otherwise every idea is small</t>
  </si>
  <si>
    <t>More upside available</t>
  </si>
  <si>
    <t>Try to trade the same amount each time.</t>
  </si>
  <si>
    <t>Ironing the wrinkles out of a trading system - can take  years - be patient.</t>
  </si>
  <si>
    <t xml:space="preserve">Bull market </t>
  </si>
  <si>
    <t xml:space="preserve">Based upon the profitability of the trade parameters in the past and the number of previous setups. </t>
  </si>
  <si>
    <t>trump</t>
  </si>
  <si>
    <t>same</t>
  </si>
  <si>
    <t>The market has paused since the post-election surge. It is due to re-charge forward and likely move into Santa Claus effect rally.</t>
  </si>
  <si>
    <t>Percentage of portfolio. Yes, the same amount each trade.</t>
  </si>
  <si>
    <t>retailers are too short or not invested. thanksgiving n black friday rally..</t>
  </si>
  <si>
    <t>different for each trade, my risk-management decided which amount iÂ´m putting to loose</t>
  </si>
  <si>
    <t>Thanksgiving and Holiday shopping.  Market wants  us happy.</t>
  </si>
  <si>
    <t>crowding resistance</t>
  </si>
  <si>
    <t>5 to 10%</t>
  </si>
  <si>
    <t>rising sentiment out of extrems, wave 5 forming (in sense of EWTheory)</t>
  </si>
  <si>
    <t>Sidelined money is still flowing in.</t>
  </si>
  <si>
    <t>Risk less than 1% on any one trade. That's the rule.Period.</t>
  </si>
  <si>
    <t>Thank You!</t>
  </si>
  <si>
    <t>holiday week</t>
  </si>
  <si>
    <t>5% each trade</t>
  </si>
  <si>
    <t>Lower</t>
  </si>
  <si>
    <t>Stocks looked tired Friday afternoon; S&amp;P may drop to support at about 2160.</t>
  </si>
  <si>
    <t>Different for each trade.</t>
  </si>
  <si>
    <t>Overbought market</t>
  </si>
  <si>
    <t>2% of account size on all trades</t>
  </si>
  <si>
    <t>not sure</t>
  </si>
  <si>
    <t>im not there yet</t>
  </si>
  <si>
    <t>i am a .beginner the information is not quite formulating a solid foundation yet .i expect all of that to change as i continue to educate my self through this and other plat forms</t>
  </si>
  <si>
    <t>The Market is OVERBOT and the SPX is bumping up against major resistence</t>
  </si>
  <si>
    <t>about 25%</t>
  </si>
  <si>
    <t>topping pattern</t>
  </si>
  <si>
    <t xml:space="preserve">about the same  </t>
  </si>
  <si>
    <t>wait for more earning</t>
  </si>
  <si>
    <t>percentage</t>
  </si>
  <si>
    <t xml:space="preserve">We too overbought !!    </t>
  </si>
  <si>
    <t>Risk to reward and how volitile the market is</t>
  </si>
  <si>
    <t>sobering up from electoral enthusiasm  Chinese indices remained at the November 9</t>
  </si>
  <si>
    <t>2 contracts</t>
  </si>
  <si>
    <t>The Bulls usually have Thanksgiving but the obvious won't work this time because the market needs a rest after it makes a new high.  The Russell needs to pullback and bonds are returning higher rates and the Fed is going to raise rates.</t>
  </si>
  <si>
    <t xml:space="preserve">I never commit more than 2/3 of my account and usually less at any one time.  I balance my commitment between all positions at risk.  </t>
  </si>
  <si>
    <t>The FED may spark a recession with multiple interest rate increases and the interest on the national debt is going to skyrocket.</t>
  </si>
  <si>
    <t>A rise in VIX.</t>
  </si>
  <si>
    <t>Depends on my stop loss/risk.  I use different amounts depending on market environment.</t>
  </si>
  <si>
    <t>Re-positioning for interest rate rises.</t>
  </si>
  <si>
    <t>65%. It's different for each trade.</t>
  </si>
  <si>
    <t>Considerable uncertainties involving rates and presidential worries.</t>
  </si>
  <si>
    <t>Thinking market is currently overbought with excessive optimism.</t>
  </si>
  <si>
    <t>Approximately 3 % per investment.Yes.</t>
  </si>
  <si>
    <t>too overbought</t>
  </si>
  <si>
    <t>5%, amount  depending if market is moving quick or slow</t>
  </si>
  <si>
    <t xml:space="preserve"> </t>
  </si>
  <si>
    <t>market is overbought and must correct</t>
  </si>
  <si>
    <t>Fixed amount per trade</t>
  </si>
  <si>
    <t>No more than 5%</t>
  </si>
  <si>
    <t xml:space="preserve">Fed rate fears increasing Markets' momentum waning/decreasing </t>
  </si>
  <si>
    <t>Risk management calculator...maximum 1-2% risk per trade</t>
  </si>
  <si>
    <t>*Date is the Monday of the week that was being predicted in the most recent survey.</t>
  </si>
  <si>
    <t>Week</t>
  </si>
  <si>
    <t>H/L Diff</t>
  </si>
  <si>
    <t>Avg Confidence</t>
  </si>
  <si>
    <t>Confidence Higher</t>
  </si>
  <si>
    <t>Confidence Lower</t>
  </si>
  <si>
    <t>Con Diff</t>
  </si>
  <si>
    <t>Sentiment</t>
  </si>
  <si>
    <t>Forecast</t>
  </si>
  <si>
    <t>Actual</t>
  </si>
  <si>
    <t>Correct?</t>
  </si>
  <si>
    <t>SentCorrect</t>
  </si>
  <si>
    <t>Sent</t>
  </si>
  <si>
    <t>12w</t>
  </si>
  <si>
    <t>52w</t>
  </si>
  <si>
    <t>up chance</t>
  </si>
  <si>
    <t>N/A</t>
  </si>
  <si>
    <t>58% Higher</t>
  </si>
  <si>
    <t>63% Lower</t>
  </si>
  <si>
    <t>56% Lower</t>
  </si>
  <si>
    <t>71% Higher</t>
  </si>
  <si>
    <t>52% Higher</t>
  </si>
  <si>
    <t>61% Higher</t>
  </si>
  <si>
    <t>57% Lower</t>
  </si>
  <si>
    <t>62% Higher</t>
  </si>
  <si>
    <t>55% Lower</t>
  </si>
  <si>
    <t>NONE (50/50)</t>
  </si>
  <si>
    <t>57% Higher</t>
  </si>
  <si>
    <t>63% Higher</t>
  </si>
  <si>
    <t>60% Higher</t>
  </si>
  <si>
    <t>NONE (54/46)</t>
  </si>
  <si>
    <t>59% Higher</t>
  </si>
  <si>
    <t>67% Higher</t>
  </si>
  <si>
    <t>64% Higher</t>
  </si>
  <si>
    <t>52% Lower</t>
  </si>
  <si>
    <t>65% Higher</t>
  </si>
  <si>
    <t>75% Higher</t>
  </si>
  <si>
    <t>70% Lower</t>
  </si>
  <si>
    <t>54% Lower</t>
  </si>
  <si>
    <t>53% Lower</t>
  </si>
  <si>
    <t>62% Lower</t>
  </si>
  <si>
    <t>69% Higher</t>
  </si>
  <si>
    <t>54% Higher</t>
  </si>
  <si>
    <t>53% Higher</t>
  </si>
  <si>
    <t>70% Higher</t>
  </si>
  <si>
    <t>???</t>
  </si>
</sst>
</file>

<file path=xl/styles.xml><?xml version="1.0" encoding="utf-8"?>
<styleSheet xmlns="http://schemas.openxmlformats.org/spreadsheetml/2006/main">
  <numFmts count="9">
    <numFmt numFmtId="164" formatCode="General"/>
    <numFmt numFmtId="165" formatCode="0.00%"/>
    <numFmt numFmtId="166" formatCode="@"/>
    <numFmt numFmtId="167" formatCode="0.0%"/>
    <numFmt numFmtId="168" formatCode="0"/>
    <numFmt numFmtId="169" formatCode="#,##0.00"/>
    <numFmt numFmtId="170" formatCode="MM/DD/YY"/>
    <numFmt numFmtId="171" formatCode="0%"/>
    <numFmt numFmtId="172" formatCode="&quot;TRUE&quot;;&quot;TRUE&quot;;&quot;FALSE&quot;"/>
  </numFmts>
  <fonts count="4">
    <font>
      <sz val="10"/>
      <name val="Arial"/>
      <family val="2"/>
    </font>
    <font>
      <b/>
      <sz val="10"/>
      <name val="Arial"/>
      <family val="2"/>
    </font>
    <font>
      <sz val="13"/>
      <color indexed="8"/>
      <name val="Arial"/>
      <family val="2"/>
    </font>
    <font>
      <sz val="10"/>
      <color indexed="8"/>
      <name val="Arial"/>
      <family val="2"/>
    </font>
  </fonts>
  <fills count="3">
    <fill>
      <patternFill/>
    </fill>
    <fill>
      <patternFill patternType="gray125"/>
    </fill>
    <fill>
      <patternFill patternType="solid">
        <fgColor indexed="26"/>
        <bgColor indexed="64"/>
      </patternFill>
    </fill>
  </fills>
  <borders count="1">
    <border>
      <left/>
      <right/>
      <top/>
      <bottom/>
      <diagonal/>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27">
    <xf numFmtId="164" fontId="0" fillId="0" borderId="0" xfId="0" applyAlignment="1">
      <alignment/>
    </xf>
    <xf numFmtId="165" fontId="0" fillId="0" borderId="0" xfId="0" applyNumberFormat="1" applyAlignment="1">
      <alignment/>
    </xf>
    <xf numFmtId="166" fontId="0" fillId="0" borderId="0" xfId="0" applyNumberFormat="1" applyFont="1" applyAlignment="1">
      <alignment/>
    </xf>
    <xf numFmtId="164" fontId="0" fillId="0" borderId="0" xfId="0" applyFont="1" applyAlignment="1">
      <alignment horizontal="left"/>
    </xf>
    <xf numFmtId="164" fontId="0" fillId="0" borderId="0" xfId="0" applyFont="1" applyFill="1" applyAlignment="1">
      <alignment horizontal="left"/>
    </xf>
    <xf numFmtId="167" fontId="0" fillId="2" borderId="0" xfId="0" applyNumberFormat="1" applyFont="1" applyFill="1" applyAlignment="1">
      <alignment horizontal="left"/>
    </xf>
    <xf numFmtId="167" fontId="0" fillId="0" borderId="0" xfId="0" applyNumberFormat="1" applyFont="1" applyAlignment="1">
      <alignment horizontal="left"/>
    </xf>
    <xf numFmtId="165" fontId="0" fillId="0" borderId="0" xfId="0" applyNumberFormat="1" applyFont="1" applyFill="1" applyAlignment="1">
      <alignment horizontal="left"/>
    </xf>
    <xf numFmtId="167" fontId="0" fillId="0" borderId="0" xfId="0" applyNumberFormat="1" applyFont="1" applyFill="1" applyAlignment="1">
      <alignment horizontal="left"/>
    </xf>
    <xf numFmtId="166" fontId="0" fillId="2" borderId="0" xfId="0" applyNumberFormat="1" applyFont="1" applyFill="1" applyAlignment="1">
      <alignment horizontal="left"/>
    </xf>
    <xf numFmtId="168" fontId="0" fillId="0" borderId="0" xfId="0" applyNumberFormat="1" applyFont="1" applyAlignment="1">
      <alignment horizontal="left"/>
    </xf>
    <xf numFmtId="169" fontId="0" fillId="2" borderId="0" xfId="0" applyNumberFormat="1" applyFont="1" applyFill="1" applyAlignment="1">
      <alignment horizontal="left"/>
    </xf>
    <xf numFmtId="169" fontId="0" fillId="0" borderId="0" xfId="0" applyNumberFormat="1" applyFont="1" applyAlignment="1">
      <alignment horizontal="left"/>
    </xf>
    <xf numFmtId="165" fontId="0" fillId="0" borderId="0" xfId="0" applyNumberFormat="1" applyFont="1" applyAlignment="1">
      <alignment horizontal="left"/>
    </xf>
    <xf numFmtId="164" fontId="1" fillId="0" borderId="0" xfId="0" applyFont="1" applyFill="1" applyAlignment="1">
      <alignment horizontal="left"/>
    </xf>
    <xf numFmtId="170" fontId="1" fillId="0" borderId="0" xfId="0" applyNumberFormat="1" applyFont="1" applyFill="1" applyAlignment="1">
      <alignment horizontal="left"/>
    </xf>
    <xf numFmtId="167" fontId="1" fillId="0" borderId="0" xfId="0" applyNumberFormat="1" applyFont="1" applyFill="1" applyAlignment="1">
      <alignment horizontal="left"/>
    </xf>
    <xf numFmtId="165" fontId="1" fillId="0" borderId="0" xfId="0" applyNumberFormat="1" applyFont="1" applyFill="1" applyAlignment="1">
      <alignment horizontal="left"/>
    </xf>
    <xf numFmtId="166" fontId="1" fillId="2" borderId="0" xfId="0" applyNumberFormat="1" applyFont="1" applyFill="1" applyAlignment="1">
      <alignment horizontal="left"/>
    </xf>
    <xf numFmtId="168" fontId="1" fillId="0" borderId="0" xfId="0" applyNumberFormat="1" applyFont="1" applyFill="1" applyAlignment="1">
      <alignment horizontal="left"/>
    </xf>
    <xf numFmtId="169" fontId="1" fillId="2" borderId="0" xfId="0" applyNumberFormat="1" applyFont="1" applyFill="1" applyAlignment="1">
      <alignment horizontal="left"/>
    </xf>
    <xf numFmtId="169" fontId="1" fillId="0" borderId="0" xfId="0" applyNumberFormat="1" applyFont="1" applyFill="1" applyAlignment="1">
      <alignment horizontal="left"/>
    </xf>
    <xf numFmtId="171" fontId="1" fillId="0" borderId="0" xfId="0" applyNumberFormat="1" applyFont="1" applyFill="1" applyAlignment="1">
      <alignment horizontal="left"/>
    </xf>
    <xf numFmtId="164" fontId="1" fillId="0" borderId="0" xfId="0" applyFont="1" applyFill="1" applyAlignment="1">
      <alignment/>
    </xf>
    <xf numFmtId="166" fontId="1" fillId="0" borderId="0" xfId="0" applyNumberFormat="1" applyFont="1" applyFill="1" applyAlignment="1">
      <alignment horizontal="left"/>
    </xf>
    <xf numFmtId="170" fontId="0" fillId="0" borderId="0" xfId="0" applyNumberFormat="1" applyFont="1" applyFill="1" applyAlignment="1">
      <alignment horizontal="left"/>
    </xf>
    <xf numFmtId="172" fontId="0" fillId="0" borderId="0" xfId="0" applyNumberFormat="1" applyFont="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3B3B3"/>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420E"/>
      <rgbColor rgb="00666699"/>
      <rgbColor rgb="00969696"/>
      <rgbColor rgb="0000458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latin typeface="Arial"/>
                <a:ea typeface="Arial"/>
                <a:cs typeface="Arial"/>
              </a:rPr>
              <a:t>Question #2 - Higher or Lower?</a:t>
            </a:r>
          </a:p>
        </c:rich>
      </c:tx>
      <c:layout/>
      <c:spPr>
        <a:noFill/>
        <a:ln>
          <a:noFill/>
        </a:ln>
      </c:spPr>
    </c:title>
    <c:plotArea>
      <c:layout>
        <c:manualLayout>
          <c:xMode val="edge"/>
          <c:yMode val="edge"/>
          <c:x val="0.05275"/>
          <c:y val="0.23125"/>
          <c:w val="0.9165"/>
          <c:h val="0.726"/>
        </c:manualLayout>
      </c:layout>
      <c:barChart>
        <c:barDir val="col"/>
        <c:grouping val="clustered"/>
        <c:varyColors val="0"/>
        <c:ser>
          <c:idx val="0"/>
          <c:order val="0"/>
          <c:tx>
            <c:strRef>
              <c:f>history!$C$3</c:f>
            </c:strRef>
          </c:tx>
          <c:spPr>
            <a:solidFill>
              <a:srgbClr val="004586"/>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history!$B$4:$B$166</c:f>
              <c:strCache/>
            </c:strRef>
          </c:cat>
          <c:val>
            <c:numRef>
              <c:f>history!$C$4:$C$166</c:f>
              <c:numCache/>
            </c:numRef>
          </c:val>
        </c:ser>
        <c:ser>
          <c:idx val="1"/>
          <c:order val="1"/>
          <c:tx>
            <c:strRef>
              <c:f>history!$D$3</c:f>
            </c:strRef>
          </c:tx>
          <c:spPr>
            <a:solidFill>
              <a:srgbClr val="FF420E"/>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history!$B$4:$B$166</c:f>
              <c:strCache/>
            </c:strRef>
          </c:cat>
          <c:val>
            <c:numRef>
              <c:f>history!$D$4:$D$166</c:f>
              <c:numCache/>
            </c:numRef>
          </c:val>
        </c:ser>
        <c:gapWidth val="100"/>
        <c:axId val="29081621"/>
        <c:axId val="60407998"/>
      </c:barChart>
      <c:catAx>
        <c:axId val="29081621"/>
        <c:scaling>
          <c:orientation val="minMax"/>
        </c:scaling>
        <c:axPos val="b"/>
        <c:delete val="0"/>
        <c:numFmt formatCode="General" sourceLinked="1"/>
        <c:majorTickMark val="out"/>
        <c:minorTickMark val="none"/>
        <c:tickLblPos val="nextTo"/>
        <c:spPr>
          <a:ln w="3175">
            <a:solidFill>
              <a:srgbClr val="B3B3B3"/>
            </a:solidFill>
          </a:ln>
        </c:spPr>
        <c:txPr>
          <a:bodyPr vert="horz" rot="-5400000"/>
          <a:lstStyle/>
          <a:p>
            <a:pPr>
              <a:defRPr lang="en-US" cap="none" sz="1000" b="0" i="0" u="none" baseline="0">
                <a:solidFill>
                  <a:srgbClr val="000000"/>
                </a:solidFill>
                <a:latin typeface="Arial"/>
                <a:ea typeface="Arial"/>
                <a:cs typeface="Arial"/>
              </a:defRPr>
            </a:pPr>
          </a:p>
        </c:txPr>
        <c:crossAx val="60407998"/>
        <c:crossesAt val="0"/>
        <c:auto val="0"/>
        <c:lblOffset val="100"/>
        <c:noMultiLvlLbl val="0"/>
      </c:catAx>
      <c:valAx>
        <c:axId val="60407998"/>
        <c:scaling>
          <c:orientation val="minMax"/>
          <c:max val="0.9"/>
          <c:min val="0.1"/>
        </c:scaling>
        <c:axPos val="l"/>
        <c:majorGridlines>
          <c:spPr>
            <a:ln w="3175">
              <a:solidFill>
                <a:srgbClr val="B3B3B3"/>
              </a:solidFill>
            </a:ln>
          </c:spPr>
        </c:majorGridlines>
        <c:delete val="0"/>
        <c:numFmt formatCode="0.0%" sourceLinked="0"/>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29081621"/>
        <c:crossesAt val="1"/>
        <c:crossBetween val="between"/>
        <c:dispUnits/>
      </c:valAx>
      <c:spPr>
        <a:noFill/>
        <a:ln w="3175">
          <a:solidFill>
            <a:srgbClr val="B3B3B3"/>
          </a:solidFill>
        </a:ln>
      </c:spPr>
    </c:plotArea>
    <c:legend>
      <c:legendPos val="r"/>
      <c:layout>
        <c:manualLayout>
          <c:xMode val="edge"/>
          <c:yMode val="edge"/>
          <c:x val="0.4115"/>
          <c:y val="0.151"/>
          <c:w val="0.1885"/>
          <c:h val="0.055"/>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latin typeface="Arial"/>
                <a:ea typeface="Arial"/>
                <a:cs typeface="Arial"/>
              </a:rPr>
              <a:t>Question #3 - Confidence Rating</a:t>
            </a:r>
          </a:p>
        </c:rich>
      </c:tx>
      <c:layout/>
      <c:spPr>
        <a:noFill/>
        <a:ln>
          <a:noFill/>
        </a:ln>
      </c:spPr>
    </c:title>
    <c:plotArea>
      <c:layout>
        <c:manualLayout>
          <c:xMode val="edge"/>
          <c:yMode val="edge"/>
          <c:x val="0.05075"/>
          <c:y val="0.24075"/>
          <c:w val="0.91375"/>
          <c:h val="0.70725"/>
        </c:manualLayout>
      </c:layout>
      <c:barChart>
        <c:barDir val="col"/>
        <c:grouping val="clustered"/>
        <c:varyColors val="0"/>
        <c:ser>
          <c:idx val="0"/>
          <c:order val="0"/>
          <c:tx>
            <c:strRef>
              <c:f>history!$G$3</c:f>
            </c:strRef>
          </c:tx>
          <c:spPr>
            <a:solidFill>
              <a:srgbClr val="004586"/>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history!$B$4:$B$166</c:f>
              <c:strCache/>
            </c:strRef>
          </c:cat>
          <c:val>
            <c:numRef>
              <c:f>history!$G$4:$G$166</c:f>
              <c:numCache/>
            </c:numRef>
          </c:val>
        </c:ser>
        <c:ser>
          <c:idx val="1"/>
          <c:order val="1"/>
          <c:tx>
            <c:strRef>
              <c:f>history!$H$3</c:f>
            </c:strRef>
          </c:tx>
          <c:spPr>
            <a:solidFill>
              <a:srgbClr val="FF420E"/>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history!$B$4:$B$166</c:f>
              <c:strCache/>
            </c:strRef>
          </c:cat>
          <c:val>
            <c:numRef>
              <c:f>history!$H$4:$H$166</c:f>
              <c:numCache/>
            </c:numRef>
          </c:val>
        </c:ser>
        <c:gapWidth val="100"/>
        <c:axId val="6801071"/>
        <c:axId val="61209640"/>
      </c:barChart>
      <c:catAx>
        <c:axId val="6801071"/>
        <c:scaling>
          <c:orientation val="minMax"/>
        </c:scaling>
        <c:axPos val="b"/>
        <c:delete val="0"/>
        <c:numFmt formatCode="General" sourceLinked="1"/>
        <c:majorTickMark val="out"/>
        <c:minorTickMark val="none"/>
        <c:tickLblPos val="nextTo"/>
        <c:spPr>
          <a:ln w="3175">
            <a:solidFill>
              <a:srgbClr val="B3B3B3"/>
            </a:solidFill>
          </a:ln>
        </c:spPr>
        <c:txPr>
          <a:bodyPr vert="horz" rot="-5400000"/>
          <a:lstStyle/>
          <a:p>
            <a:pPr>
              <a:defRPr lang="en-US" cap="none" sz="1000" b="0" i="0" u="none" baseline="0">
                <a:solidFill>
                  <a:srgbClr val="000000"/>
                </a:solidFill>
                <a:latin typeface="Arial"/>
                <a:ea typeface="Arial"/>
                <a:cs typeface="Arial"/>
              </a:defRPr>
            </a:pPr>
          </a:p>
        </c:txPr>
        <c:crossAx val="61209640"/>
        <c:crossesAt val="0"/>
        <c:auto val="0"/>
        <c:lblOffset val="100"/>
        <c:noMultiLvlLbl val="0"/>
      </c:catAx>
      <c:valAx>
        <c:axId val="61209640"/>
        <c:scaling>
          <c:orientation val="minMax"/>
          <c:max val="0.8"/>
          <c:min val="0.4"/>
        </c:scaling>
        <c:axPos val="l"/>
        <c:majorGridlines>
          <c:spPr>
            <a:ln w="3175">
              <a:solidFill>
                <a:srgbClr val="B3B3B3"/>
              </a:solidFill>
            </a:ln>
          </c:spPr>
        </c:majorGridlines>
        <c:delete val="0"/>
        <c:numFmt formatCode="0.0%" sourceLinked="0"/>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6801071"/>
        <c:crossesAt val="1"/>
        <c:crossBetween val="between"/>
        <c:dispUnits/>
      </c:valAx>
      <c:spPr>
        <a:noFill/>
        <a:ln w="3175">
          <a:solidFill>
            <a:srgbClr val="B3B3B3"/>
          </a:solidFill>
        </a:ln>
      </c:spPr>
    </c:plotArea>
    <c:legend>
      <c:legendPos val="r"/>
      <c:layout>
        <c:manualLayout>
          <c:xMode val="edge"/>
          <c:yMode val="edge"/>
          <c:x val="0.313"/>
          <c:y val="0.1605"/>
          <c:w val="0.4125"/>
          <c:h val="0.055"/>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latin typeface="Arial"/>
                <a:ea typeface="Arial"/>
                <a:cs typeface="Arial"/>
              </a:rPr>
              <a:t>Higher/Lower Difference</a:t>
            </a:r>
          </a:p>
        </c:rich>
      </c:tx>
      <c:layout/>
      <c:spPr>
        <a:noFill/>
        <a:ln>
          <a:noFill/>
        </a:ln>
      </c:spPr>
    </c:title>
    <c:plotArea>
      <c:layout>
        <c:manualLayout>
          <c:xMode val="edge"/>
          <c:yMode val="edge"/>
          <c:x val="0.05425"/>
          <c:y val="0.274"/>
          <c:w val="0.91825"/>
          <c:h val="0.664"/>
        </c:manualLayout>
      </c:layout>
      <c:barChart>
        <c:barDir val="col"/>
        <c:grouping val="clustered"/>
        <c:varyColors val="0"/>
        <c:ser>
          <c:idx val="0"/>
          <c:order val="0"/>
          <c:tx>
            <c:strRef>
              <c:f>history!$E$3</c:f>
            </c:strRef>
          </c:tx>
          <c:spPr>
            <a:solidFill>
              <a:srgbClr val="000000"/>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history!$B$4:$B$166</c:f>
              <c:strCache/>
            </c:strRef>
          </c:cat>
          <c:val>
            <c:numRef>
              <c:f>history!$E$4:$E$166</c:f>
              <c:numCache/>
            </c:numRef>
          </c:val>
        </c:ser>
        <c:gapWidth val="100"/>
        <c:axId val="14015849"/>
        <c:axId val="59033778"/>
      </c:barChart>
      <c:catAx>
        <c:axId val="14015849"/>
        <c:scaling>
          <c:orientation val="minMax"/>
        </c:scaling>
        <c:axPos val="b"/>
        <c:delete val="0"/>
        <c:numFmt formatCode="General" sourceLinked="1"/>
        <c:majorTickMark val="out"/>
        <c:minorTickMark val="none"/>
        <c:tickLblPos val="low"/>
        <c:spPr>
          <a:ln w="3175">
            <a:solidFill>
              <a:srgbClr val="B3B3B3"/>
            </a:solidFill>
          </a:ln>
        </c:spPr>
        <c:txPr>
          <a:bodyPr vert="horz" rot="-5400000"/>
          <a:lstStyle/>
          <a:p>
            <a:pPr>
              <a:defRPr lang="en-US" cap="none" sz="1000" b="0" i="0" u="none" baseline="0">
                <a:solidFill>
                  <a:srgbClr val="000000"/>
                </a:solidFill>
                <a:latin typeface="Arial"/>
                <a:ea typeface="Arial"/>
                <a:cs typeface="Arial"/>
              </a:defRPr>
            </a:pPr>
          </a:p>
        </c:txPr>
        <c:crossAx val="59033778"/>
        <c:crossesAt val="0"/>
        <c:auto val="0"/>
        <c:lblOffset val="100"/>
        <c:noMultiLvlLbl val="0"/>
      </c:catAx>
      <c:valAx>
        <c:axId val="59033778"/>
        <c:scaling>
          <c:orientation val="minMax"/>
          <c:max val="0.7"/>
          <c:min val="-0.5"/>
        </c:scaling>
        <c:axPos val="l"/>
        <c:majorGridlines>
          <c:spPr>
            <a:ln w="3175">
              <a:solidFill>
                <a:srgbClr val="B3B3B3"/>
              </a:solidFill>
            </a:ln>
          </c:spPr>
        </c:majorGridlines>
        <c:delete val="0"/>
        <c:numFmt formatCode="0.0%" sourceLinked="0"/>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14015849"/>
        <c:crossesAt val="1"/>
        <c:crossBetween val="between"/>
        <c:dispUnits/>
      </c:valAx>
      <c:spPr>
        <a:noFill/>
        <a:ln w="3175">
          <a:solidFill>
            <a:srgbClr val="B3B3B3"/>
          </a:solidFill>
        </a:ln>
      </c:spPr>
    </c:plotArea>
    <c:plotVisOnly val="1"/>
    <c:dispBlanksAs val="gap"/>
    <c:showDLblsOverMax val="0"/>
  </c:char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latin typeface="Arial"/>
                <a:ea typeface="Arial"/>
                <a:cs typeface="Arial"/>
              </a:rPr>
              <a:t>Confidence Difference</a:t>
            </a:r>
          </a:p>
        </c:rich>
      </c:tx>
      <c:layout/>
      <c:spPr>
        <a:noFill/>
        <a:ln>
          <a:noFill/>
        </a:ln>
      </c:spPr>
    </c:title>
    <c:plotArea>
      <c:layout>
        <c:manualLayout>
          <c:xMode val="edge"/>
          <c:yMode val="edge"/>
          <c:x val="0.04125"/>
          <c:y val="0.27675"/>
          <c:w val="0.92825"/>
          <c:h val="0.6575"/>
        </c:manualLayout>
      </c:layout>
      <c:barChart>
        <c:barDir val="col"/>
        <c:grouping val="clustered"/>
        <c:varyColors val="0"/>
        <c:ser>
          <c:idx val="0"/>
          <c:order val="0"/>
          <c:tx>
            <c:strRef>
              <c:f>history!$I$3</c:f>
            </c:strRef>
          </c:tx>
          <c:spPr>
            <a:solidFill>
              <a:srgbClr val="000000"/>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history!$B$4:$B$166</c:f>
              <c:strCache/>
            </c:strRef>
          </c:cat>
          <c:val>
            <c:numRef>
              <c:f>history!$I$4:$I$166</c:f>
              <c:numCache/>
            </c:numRef>
          </c:val>
        </c:ser>
        <c:gapWidth val="100"/>
        <c:axId val="61541955"/>
        <c:axId val="17006684"/>
      </c:barChart>
      <c:catAx>
        <c:axId val="61541955"/>
        <c:scaling>
          <c:orientation val="minMax"/>
        </c:scaling>
        <c:axPos val="b"/>
        <c:delete val="0"/>
        <c:numFmt formatCode="General" sourceLinked="1"/>
        <c:majorTickMark val="out"/>
        <c:minorTickMark val="none"/>
        <c:tickLblPos val="low"/>
        <c:spPr>
          <a:ln w="3175">
            <a:solidFill>
              <a:srgbClr val="B3B3B3"/>
            </a:solidFill>
          </a:ln>
        </c:spPr>
        <c:txPr>
          <a:bodyPr vert="horz" rot="-5400000"/>
          <a:lstStyle/>
          <a:p>
            <a:pPr>
              <a:defRPr lang="en-US" cap="none" sz="1000" b="0" i="0" u="none" baseline="0">
                <a:solidFill>
                  <a:srgbClr val="000000"/>
                </a:solidFill>
                <a:latin typeface="Arial"/>
                <a:ea typeface="Arial"/>
                <a:cs typeface="Arial"/>
              </a:defRPr>
            </a:pPr>
          </a:p>
        </c:txPr>
        <c:crossAx val="17006684"/>
        <c:crossesAt val="0"/>
        <c:auto val="0"/>
        <c:lblOffset val="100"/>
        <c:noMultiLvlLbl val="0"/>
      </c:catAx>
      <c:valAx>
        <c:axId val="17006684"/>
        <c:scaling>
          <c:orientation val="minMax"/>
        </c:scaling>
        <c:axPos val="l"/>
        <c:majorGridlines>
          <c:spPr>
            <a:ln w="3175">
              <a:solidFill>
                <a:srgbClr val="B3B3B3"/>
              </a:solidFill>
            </a:ln>
          </c:spPr>
        </c:majorGridlines>
        <c:delete val="0"/>
        <c:numFmt formatCode="0.00%" sourceLinked="0"/>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61541955"/>
        <c:crossesAt val="1"/>
        <c:crossBetween val="between"/>
        <c:dispUnits/>
      </c:valAx>
      <c:spPr>
        <a:noFill/>
        <a:ln w="3175">
          <a:solidFill>
            <a:srgbClr val="B3B3B3"/>
          </a:solidFill>
        </a:ln>
      </c:spPr>
    </c:plotArea>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7</xdr:col>
      <xdr:colOff>57150</xdr:colOff>
      <xdr:row>18</xdr:row>
      <xdr:rowOff>47625</xdr:rowOff>
    </xdr:to>
    <xdr:graphicFrame>
      <xdr:nvGraphicFramePr>
        <xdr:cNvPr id="1" name="Chart 1"/>
        <xdr:cNvGraphicFramePr/>
      </xdr:nvGraphicFramePr>
      <xdr:xfrm>
        <a:off x="0" y="0"/>
        <a:ext cx="5457825" cy="2962275"/>
      </xdr:xfrm>
      <a:graphic>
        <a:graphicData uri="http://schemas.openxmlformats.org/drawingml/2006/chart">
          <c:chart xmlns:c="http://schemas.openxmlformats.org/drawingml/2006/chart" r:id="rId1"/>
        </a:graphicData>
      </a:graphic>
    </xdr:graphicFrame>
    <xdr:clientData/>
  </xdr:twoCellAnchor>
  <xdr:twoCellAnchor editAs="absolute">
    <xdr:from>
      <xdr:col>7</xdr:col>
      <xdr:colOff>47625</xdr:colOff>
      <xdr:row>0</xdr:row>
      <xdr:rowOff>0</xdr:rowOff>
    </xdr:from>
    <xdr:to>
      <xdr:col>14</xdr:col>
      <xdr:colOff>266700</xdr:colOff>
      <xdr:row>18</xdr:row>
      <xdr:rowOff>47625</xdr:rowOff>
    </xdr:to>
    <xdr:graphicFrame>
      <xdr:nvGraphicFramePr>
        <xdr:cNvPr id="2" name="Chart 2"/>
        <xdr:cNvGraphicFramePr/>
      </xdr:nvGraphicFramePr>
      <xdr:xfrm>
        <a:off x="5448300" y="0"/>
        <a:ext cx="5619750" cy="2962275"/>
      </xdr:xfrm>
      <a:graphic>
        <a:graphicData uri="http://schemas.openxmlformats.org/drawingml/2006/chart">
          <c:chart xmlns:c="http://schemas.openxmlformats.org/drawingml/2006/chart" r:id="rId2"/>
        </a:graphicData>
      </a:graphic>
    </xdr:graphicFrame>
    <xdr:clientData/>
  </xdr:twoCellAnchor>
  <xdr:twoCellAnchor editAs="absolute">
    <xdr:from>
      <xdr:col>0</xdr:col>
      <xdr:colOff>0</xdr:colOff>
      <xdr:row>18</xdr:row>
      <xdr:rowOff>57150</xdr:rowOff>
    </xdr:from>
    <xdr:to>
      <xdr:col>7</xdr:col>
      <xdr:colOff>57150</xdr:colOff>
      <xdr:row>26</xdr:row>
      <xdr:rowOff>85725</xdr:rowOff>
    </xdr:to>
    <xdr:graphicFrame>
      <xdr:nvGraphicFramePr>
        <xdr:cNvPr id="3" name="Chart 3"/>
        <xdr:cNvGraphicFramePr/>
      </xdr:nvGraphicFramePr>
      <xdr:xfrm>
        <a:off x="0" y="2971800"/>
        <a:ext cx="5457825" cy="1323975"/>
      </xdr:xfrm>
      <a:graphic>
        <a:graphicData uri="http://schemas.openxmlformats.org/drawingml/2006/chart">
          <c:chart xmlns:c="http://schemas.openxmlformats.org/drawingml/2006/chart" r:id="rId3"/>
        </a:graphicData>
      </a:graphic>
    </xdr:graphicFrame>
    <xdr:clientData/>
  </xdr:twoCellAnchor>
  <xdr:twoCellAnchor editAs="absolute">
    <xdr:from>
      <xdr:col>7</xdr:col>
      <xdr:colOff>38100</xdr:colOff>
      <xdr:row>18</xdr:row>
      <xdr:rowOff>57150</xdr:rowOff>
    </xdr:from>
    <xdr:to>
      <xdr:col>14</xdr:col>
      <xdr:colOff>266700</xdr:colOff>
      <xdr:row>26</xdr:row>
      <xdr:rowOff>95250</xdr:rowOff>
    </xdr:to>
    <xdr:graphicFrame>
      <xdr:nvGraphicFramePr>
        <xdr:cNvPr id="4" name="Chart 4"/>
        <xdr:cNvGraphicFramePr/>
      </xdr:nvGraphicFramePr>
      <xdr:xfrm>
        <a:off x="5438775" y="2971800"/>
        <a:ext cx="5629275" cy="13335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E68"/>
  <sheetViews>
    <sheetView zoomScale="75" zoomScaleNormal="75" workbookViewId="0" topLeftCell="A43">
      <selection activeCell="B68" sqref="A1:V167"/>
    </sheetView>
  </sheetViews>
  <sheetFormatPr defaultColWidth="13.7109375" defaultRowHeight="12.75"/>
  <cols>
    <col min="1" max="1" width="13.00390625" style="0" customWidth="1"/>
    <col min="2" max="2" width="13.00390625" style="1" customWidth="1"/>
    <col min="3" max="16384" width="13.00390625" style="0" customWidth="1"/>
  </cols>
  <sheetData>
    <row r="1" ht="14.25">
      <c r="B1" s="1">
        <f>AVERAGE(B5:B81)</f>
        <v>0.6726562500000001</v>
      </c>
    </row>
    <row r="2" ht="14.25">
      <c r="B2" s="1">
        <f>AVERAGE(B5:B46)</f>
        <v>0.6821428571428573</v>
      </c>
    </row>
    <row r="3" ht="14.25">
      <c r="B3" s="1">
        <f>AVERAGE(B47:B70)</f>
        <v>0.6545454545454547</v>
      </c>
    </row>
    <row r="4" spans="1:5" ht="14.25">
      <c r="A4" t="s">
        <v>0</v>
      </c>
      <c r="B4" s="1" t="s">
        <v>1</v>
      </c>
      <c r="C4" t="s">
        <v>2</v>
      </c>
      <c r="D4" t="s">
        <v>3</v>
      </c>
      <c r="E4" t="s">
        <v>4</v>
      </c>
    </row>
    <row r="5" spans="1:4" ht="14.25">
      <c r="A5" t="s">
        <v>5</v>
      </c>
      <c r="B5" s="1">
        <v>0.65</v>
      </c>
      <c r="C5" t="s">
        <v>6</v>
      </c>
      <c r="D5" t="s">
        <v>7</v>
      </c>
    </row>
    <row r="6" spans="1:3" ht="14.25">
      <c r="A6" t="s">
        <v>5</v>
      </c>
      <c r="B6" s="1">
        <v>0.5</v>
      </c>
      <c r="C6" t="s">
        <v>8</v>
      </c>
    </row>
    <row r="7" spans="1:3" ht="14.25">
      <c r="A7" t="s">
        <v>5</v>
      </c>
      <c r="B7" s="1">
        <v>0.6</v>
      </c>
      <c r="C7" t="s">
        <v>9</v>
      </c>
    </row>
    <row r="8" spans="1:5" ht="14.25">
      <c r="A8" t="s">
        <v>5</v>
      </c>
      <c r="B8" s="1">
        <v>0.9</v>
      </c>
      <c r="C8" t="s">
        <v>10</v>
      </c>
      <c r="D8" t="s">
        <v>11</v>
      </c>
      <c r="E8" t="s">
        <v>12</v>
      </c>
    </row>
    <row r="9" spans="1:4" ht="14.25">
      <c r="A9" t="s">
        <v>5</v>
      </c>
      <c r="B9" s="1">
        <v>0.5</v>
      </c>
      <c r="C9" t="s">
        <v>13</v>
      </c>
      <c r="D9" t="s">
        <v>14</v>
      </c>
    </row>
    <row r="10" spans="1:2" ht="14.25">
      <c r="A10" t="s">
        <v>5</v>
      </c>
      <c r="B10" s="1">
        <v>0.55</v>
      </c>
    </row>
    <row r="11" spans="1:4" ht="14.25">
      <c r="A11" t="s">
        <v>5</v>
      </c>
      <c r="B11" s="1">
        <v>0.6</v>
      </c>
      <c r="C11" t="s">
        <v>15</v>
      </c>
      <c r="D11" t="s">
        <v>16</v>
      </c>
    </row>
    <row r="12" spans="1:4" ht="14.25">
      <c r="A12" t="s">
        <v>5</v>
      </c>
      <c r="B12" s="1">
        <v>0.55</v>
      </c>
      <c r="C12" t="s">
        <v>17</v>
      </c>
      <c r="D12" t="s">
        <v>18</v>
      </c>
    </row>
    <row r="13" spans="1:4" ht="14.25">
      <c r="A13" t="s">
        <v>5</v>
      </c>
      <c r="B13" s="1">
        <v>0.95</v>
      </c>
      <c r="C13" t="s">
        <v>19</v>
      </c>
      <c r="D13" t="s">
        <v>20</v>
      </c>
    </row>
    <row r="14" spans="1:2" ht="14.25">
      <c r="A14" t="s">
        <v>5</v>
      </c>
      <c r="B14" s="1">
        <v>0.5</v>
      </c>
    </row>
    <row r="15" spans="1:4" ht="14.25">
      <c r="A15" t="s">
        <v>5</v>
      </c>
      <c r="B15" s="1">
        <v>0.65</v>
      </c>
      <c r="D15" t="s">
        <v>21</v>
      </c>
    </row>
    <row r="16" spans="1:3" ht="14.25">
      <c r="A16" t="s">
        <v>5</v>
      </c>
      <c r="B16" s="1">
        <v>0.6</v>
      </c>
      <c r="C16" t="s">
        <v>22</v>
      </c>
    </row>
    <row r="17" spans="1:4" ht="14.25">
      <c r="A17" t="s">
        <v>5</v>
      </c>
      <c r="B17" s="1">
        <v>0.5</v>
      </c>
      <c r="C17" t="s">
        <v>23</v>
      </c>
      <c r="D17" t="s">
        <v>24</v>
      </c>
    </row>
    <row r="18" spans="1:3" ht="14.25">
      <c r="A18" t="s">
        <v>5</v>
      </c>
      <c r="B18" s="1">
        <v>0.6</v>
      </c>
      <c r="C18" t="s">
        <v>25</v>
      </c>
    </row>
    <row r="19" spans="1:5" ht="14.25">
      <c r="A19" t="s">
        <v>5</v>
      </c>
      <c r="B19" s="1">
        <v>0.65</v>
      </c>
      <c r="C19" t="s">
        <v>26</v>
      </c>
      <c r="D19" t="s">
        <v>27</v>
      </c>
      <c r="E19" t="s">
        <v>28</v>
      </c>
    </row>
    <row r="20" spans="1:4" ht="14.25">
      <c r="A20" t="s">
        <v>5</v>
      </c>
      <c r="B20" s="1">
        <v>0.7</v>
      </c>
      <c r="C20" t="s">
        <v>29</v>
      </c>
      <c r="D20" t="s">
        <v>30</v>
      </c>
    </row>
    <row r="21" spans="1:2" ht="14.25">
      <c r="A21" t="s">
        <v>5</v>
      </c>
      <c r="B21" s="1">
        <v>0.65</v>
      </c>
    </row>
    <row r="22" spans="1:2" ht="14.25">
      <c r="A22" t="s">
        <v>5</v>
      </c>
      <c r="B22" s="1">
        <v>1</v>
      </c>
    </row>
    <row r="23" spans="1:2" ht="14.25">
      <c r="A23" t="s">
        <v>5</v>
      </c>
      <c r="B23" s="1">
        <v>0.6</v>
      </c>
    </row>
    <row r="24" spans="1:4" ht="14.25">
      <c r="A24" t="s">
        <v>5</v>
      </c>
      <c r="B24" s="1">
        <v>0.65</v>
      </c>
      <c r="C24" t="s">
        <v>31</v>
      </c>
      <c r="D24" t="s">
        <v>32</v>
      </c>
    </row>
    <row r="25" spans="1:2" ht="14.25">
      <c r="A25" t="s">
        <v>5</v>
      </c>
      <c r="B25" s="1">
        <v>0.8</v>
      </c>
    </row>
    <row r="26" spans="1:5" ht="14.25">
      <c r="A26" t="s">
        <v>5</v>
      </c>
      <c r="B26" s="1">
        <v>0.85</v>
      </c>
      <c r="C26" t="s">
        <v>33</v>
      </c>
      <c r="D26" t="s">
        <v>34</v>
      </c>
      <c r="E26" t="s">
        <v>35</v>
      </c>
    </row>
    <row r="27" spans="1:5" ht="14.25">
      <c r="A27" t="s">
        <v>5</v>
      </c>
      <c r="B27" s="1">
        <v>0.8</v>
      </c>
      <c r="C27" t="s">
        <v>36</v>
      </c>
      <c r="D27" t="s">
        <v>37</v>
      </c>
      <c r="E27" t="s">
        <v>38</v>
      </c>
    </row>
    <row r="28" spans="1:4" ht="14.25">
      <c r="A28" t="s">
        <v>5</v>
      </c>
      <c r="B28" s="1">
        <v>0.75</v>
      </c>
      <c r="C28" t="s">
        <v>39</v>
      </c>
      <c r="D28" t="s">
        <v>40</v>
      </c>
    </row>
    <row r="29" spans="1:4" ht="14.25">
      <c r="A29" t="s">
        <v>5</v>
      </c>
      <c r="B29" s="1">
        <v>0.6</v>
      </c>
      <c r="C29" t="s">
        <v>41</v>
      </c>
      <c r="D29" t="s">
        <v>42</v>
      </c>
    </row>
    <row r="30" spans="1:5" ht="14.25">
      <c r="A30" t="s">
        <v>5</v>
      </c>
      <c r="B30" s="1">
        <v>0.6</v>
      </c>
      <c r="C30" t="s">
        <v>43</v>
      </c>
      <c r="D30" s="2" t="s">
        <v>44</v>
      </c>
      <c r="E30" t="s">
        <v>43</v>
      </c>
    </row>
    <row r="31" spans="1:4" ht="14.25">
      <c r="A31" t="s">
        <v>5</v>
      </c>
      <c r="B31" s="1">
        <v>0.75</v>
      </c>
      <c r="C31" t="s">
        <v>45</v>
      </c>
      <c r="D31" t="s">
        <v>46</v>
      </c>
    </row>
    <row r="32" spans="1:4" ht="14.25">
      <c r="A32" t="s">
        <v>5</v>
      </c>
      <c r="B32" s="1">
        <v>0.6</v>
      </c>
      <c r="C32" t="s">
        <v>47</v>
      </c>
      <c r="D32" t="s">
        <v>48</v>
      </c>
    </row>
    <row r="33" spans="1:4" ht="14.25">
      <c r="A33" t="s">
        <v>5</v>
      </c>
      <c r="B33" s="1">
        <v>0.6</v>
      </c>
      <c r="C33" t="s">
        <v>49</v>
      </c>
      <c r="D33" t="s">
        <v>50</v>
      </c>
    </row>
    <row r="34" spans="1:5" ht="14.25">
      <c r="A34" t="s">
        <v>5</v>
      </c>
      <c r="B34" s="1">
        <v>0.75</v>
      </c>
      <c r="C34" t="s">
        <v>51</v>
      </c>
      <c r="D34" t="s">
        <v>52</v>
      </c>
      <c r="E34" t="s">
        <v>53</v>
      </c>
    </row>
    <row r="35" spans="1:4" ht="14.25">
      <c r="A35" t="s">
        <v>5</v>
      </c>
      <c r="B35" s="1">
        <v>0.5</v>
      </c>
      <c r="C35" t="s">
        <v>54</v>
      </c>
      <c r="D35" t="s">
        <v>55</v>
      </c>
    </row>
    <row r="36" spans="1:5" ht="14.25">
      <c r="A36" t="s">
        <v>5</v>
      </c>
      <c r="B36" s="1">
        <v>0.6</v>
      </c>
      <c r="C36" t="s">
        <v>56</v>
      </c>
      <c r="D36" t="s">
        <v>57</v>
      </c>
      <c r="E36" t="s">
        <v>58</v>
      </c>
    </row>
    <row r="37" spans="1:4" ht="14.25">
      <c r="A37" t="s">
        <v>5</v>
      </c>
      <c r="B37" s="1">
        <v>0.65</v>
      </c>
      <c r="C37" t="s">
        <v>59</v>
      </c>
      <c r="D37" t="s">
        <v>60</v>
      </c>
    </row>
    <row r="38" spans="1:4" ht="14.25">
      <c r="A38" t="s">
        <v>5</v>
      </c>
      <c r="B38" s="1">
        <v>0.75</v>
      </c>
      <c r="C38" t="s">
        <v>61</v>
      </c>
      <c r="D38" t="s">
        <v>62</v>
      </c>
    </row>
    <row r="39" spans="1:4" ht="14.25">
      <c r="A39" t="s">
        <v>5</v>
      </c>
      <c r="B39" s="1">
        <v>0.7</v>
      </c>
      <c r="C39" t="s">
        <v>63</v>
      </c>
      <c r="D39" t="s">
        <v>64</v>
      </c>
    </row>
    <row r="40" spans="1:4" ht="14.25">
      <c r="A40" t="s">
        <v>5</v>
      </c>
      <c r="B40" s="1">
        <v>0.7</v>
      </c>
      <c r="C40" t="s">
        <v>65</v>
      </c>
      <c r="D40" t="s">
        <v>66</v>
      </c>
    </row>
    <row r="41" spans="1:4" ht="14.25">
      <c r="A41" t="s">
        <v>5</v>
      </c>
      <c r="B41" s="1">
        <v>1</v>
      </c>
      <c r="C41" t="s">
        <v>67</v>
      </c>
      <c r="D41" t="s">
        <v>50</v>
      </c>
    </row>
    <row r="42" spans="1:2" ht="14.25">
      <c r="A42" t="s">
        <v>5</v>
      </c>
      <c r="B42" s="1">
        <v>0.55</v>
      </c>
    </row>
    <row r="43" spans="1:4" ht="14.25">
      <c r="A43" t="s">
        <v>5</v>
      </c>
      <c r="B43" s="1">
        <v>0.85</v>
      </c>
      <c r="C43" t="s">
        <v>68</v>
      </c>
      <c r="D43" t="s">
        <v>69</v>
      </c>
    </row>
    <row r="44" spans="1:4" ht="14.25">
      <c r="A44" t="s">
        <v>5</v>
      </c>
      <c r="B44" s="1">
        <v>0.75</v>
      </c>
      <c r="C44" t="s">
        <v>70</v>
      </c>
      <c r="D44" t="s">
        <v>62</v>
      </c>
    </row>
    <row r="45" spans="1:5" ht="14.25">
      <c r="A45" t="s">
        <v>5</v>
      </c>
      <c r="B45" s="1">
        <v>0.6</v>
      </c>
      <c r="C45" t="s">
        <v>71</v>
      </c>
      <c r="D45" t="s">
        <v>72</v>
      </c>
      <c r="E45" t="s">
        <v>73</v>
      </c>
    </row>
    <row r="46" spans="1:4" ht="14.25">
      <c r="A46" t="s">
        <v>5</v>
      </c>
      <c r="B46" s="1">
        <v>1</v>
      </c>
      <c r="C46" t="s">
        <v>74</v>
      </c>
      <c r="D46" t="s">
        <v>75</v>
      </c>
    </row>
    <row r="47" spans="1:4" ht="14.25">
      <c r="A47" t="s">
        <v>76</v>
      </c>
      <c r="B47" s="1">
        <v>0.55</v>
      </c>
      <c r="C47" t="s">
        <v>77</v>
      </c>
      <c r="D47" t="s">
        <v>78</v>
      </c>
    </row>
    <row r="48" spans="1:4" ht="14.25">
      <c r="A48" t="s">
        <v>76</v>
      </c>
      <c r="B48" s="1">
        <v>0.8</v>
      </c>
      <c r="C48" t="s">
        <v>79</v>
      </c>
      <c r="D48" t="s">
        <v>80</v>
      </c>
    </row>
    <row r="49" spans="1:2" ht="14.25">
      <c r="A49" t="s">
        <v>76</v>
      </c>
      <c r="B49" s="1">
        <v>0.55</v>
      </c>
    </row>
    <row r="50" spans="1:5" ht="14.25">
      <c r="A50" t="s">
        <v>76</v>
      </c>
      <c r="B50" s="1">
        <v>0.6</v>
      </c>
      <c r="C50" t="s">
        <v>81</v>
      </c>
      <c r="D50" t="s">
        <v>82</v>
      </c>
      <c r="E50" t="s">
        <v>83</v>
      </c>
    </row>
    <row r="51" spans="1:4" ht="14.25">
      <c r="A51" t="s">
        <v>76</v>
      </c>
      <c r="B51" s="1">
        <v>0.5</v>
      </c>
      <c r="C51" t="s">
        <v>84</v>
      </c>
      <c r="D51" t="s">
        <v>85</v>
      </c>
    </row>
    <row r="52" spans="1:4" ht="14.25">
      <c r="A52" t="s">
        <v>76</v>
      </c>
      <c r="B52" s="1">
        <v>0.55</v>
      </c>
      <c r="C52" t="s">
        <v>86</v>
      </c>
      <c r="D52" t="s">
        <v>87</v>
      </c>
    </row>
    <row r="53" spans="1:4" ht="14.25">
      <c r="A53" t="s">
        <v>76</v>
      </c>
      <c r="B53" s="1">
        <v>0.7</v>
      </c>
      <c r="C53" t="s">
        <v>88</v>
      </c>
      <c r="D53" t="s">
        <v>89</v>
      </c>
    </row>
    <row r="54" spans="1:4" ht="14.25">
      <c r="A54" t="s">
        <v>76</v>
      </c>
      <c r="B54" s="1">
        <v>0.85</v>
      </c>
      <c r="C54" t="s">
        <v>90</v>
      </c>
      <c r="D54" t="s">
        <v>91</v>
      </c>
    </row>
    <row r="55" spans="1:2" ht="14.25">
      <c r="A55" t="s">
        <v>76</v>
      </c>
      <c r="B55" s="1">
        <v>0.6</v>
      </c>
    </row>
    <row r="56" spans="1:4" ht="14.25">
      <c r="A56" t="s">
        <v>76</v>
      </c>
      <c r="B56" s="1">
        <v>0.55</v>
      </c>
      <c r="C56" t="s">
        <v>92</v>
      </c>
      <c r="D56" t="s">
        <v>93</v>
      </c>
    </row>
    <row r="57" spans="1:5" ht="14.25">
      <c r="A57" t="s">
        <v>76</v>
      </c>
      <c r="B57" s="1">
        <v>1</v>
      </c>
      <c r="C57" t="s">
        <v>94</v>
      </c>
      <c r="D57" t="s">
        <v>95</v>
      </c>
      <c r="E57" t="s">
        <v>96</v>
      </c>
    </row>
    <row r="58" spans="1:4" ht="14.25">
      <c r="A58" t="s">
        <v>76</v>
      </c>
      <c r="B58" s="1">
        <v>1</v>
      </c>
      <c r="C58" t="s">
        <v>97</v>
      </c>
      <c r="D58" t="s">
        <v>98</v>
      </c>
    </row>
    <row r="59" spans="1:2" ht="14.25">
      <c r="A59" t="s">
        <v>76</v>
      </c>
      <c r="B59" s="1">
        <v>0.65</v>
      </c>
    </row>
    <row r="60" spans="1:2" ht="14.25">
      <c r="A60" t="s">
        <v>76</v>
      </c>
      <c r="B60" s="1">
        <v>0.6</v>
      </c>
    </row>
    <row r="61" spans="1:2" ht="14.25">
      <c r="A61" t="s">
        <v>76</v>
      </c>
      <c r="B61" s="1">
        <v>0.55</v>
      </c>
    </row>
    <row r="62" spans="1:5" ht="14.25">
      <c r="A62" t="s">
        <v>76</v>
      </c>
      <c r="B62" s="1">
        <v>0.65</v>
      </c>
      <c r="C62" t="s">
        <v>99</v>
      </c>
      <c r="D62" t="s">
        <v>100</v>
      </c>
      <c r="E62" t="s">
        <v>101</v>
      </c>
    </row>
    <row r="63" spans="1:4" ht="14.25">
      <c r="A63" t="s">
        <v>76</v>
      </c>
      <c r="B63" s="1">
        <v>0.55</v>
      </c>
      <c r="C63" t="s">
        <v>102</v>
      </c>
      <c r="D63" t="s">
        <v>103</v>
      </c>
    </row>
    <row r="64" spans="1:2" ht="14.25">
      <c r="A64" t="s">
        <v>76</v>
      </c>
      <c r="B64" s="1">
        <v>0.55</v>
      </c>
    </row>
    <row r="65" spans="1:5" ht="14.25">
      <c r="A65" t="s">
        <v>76</v>
      </c>
      <c r="B65" s="1">
        <v>0.6</v>
      </c>
      <c r="C65" t="s">
        <v>104</v>
      </c>
      <c r="D65" t="s">
        <v>105</v>
      </c>
      <c r="E65" t="s">
        <v>106</v>
      </c>
    </row>
    <row r="66" spans="1:4" ht="14.25">
      <c r="A66" t="s">
        <v>76</v>
      </c>
      <c r="B66" s="1">
        <v>0.7</v>
      </c>
      <c r="C66" t="s">
        <v>107</v>
      </c>
      <c r="D66" t="s">
        <v>108</v>
      </c>
    </row>
    <row r="67" spans="1:4" ht="14.25">
      <c r="A67" t="s">
        <v>76</v>
      </c>
      <c r="B67" s="1">
        <v>0.5</v>
      </c>
      <c r="D67" t="s">
        <v>109</v>
      </c>
    </row>
    <row r="68" spans="1:4" ht="14.25">
      <c r="A68" t="s">
        <v>76</v>
      </c>
      <c r="B68" s="1">
        <v>0.8</v>
      </c>
      <c r="C68" t="s">
        <v>110</v>
      </c>
      <c r="D68" t="s">
        <v>111</v>
      </c>
    </row>
  </sheetData>
  <sheetProtection selectLockedCells="1" selectUnlockedCells="1"/>
  <printOptions/>
  <pageMargins left="0.7875" right="0.7875" top="1.0527777777777778" bottom="1.0527777777777778" header="0.7875" footer="0.7875"/>
  <pageSetup firstPageNumber="1" useFirstPageNumber="1" horizontalDpi="300" verticalDpi="300" orientation="portrait"/>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AA167"/>
  <sheetViews>
    <sheetView tabSelected="1" zoomScale="75" zoomScaleNormal="75" workbookViewId="0" topLeftCell="A1">
      <pane ySplit="1210" topLeftCell="A1" activePane="bottomLeft" state="split"/>
      <selection pane="topLeft" activeCell="A1" sqref="A1"/>
      <selection pane="bottomLeft" activeCell="V167" sqref="A1:V167"/>
    </sheetView>
  </sheetViews>
  <sheetFormatPr defaultColWidth="11.421875" defaultRowHeight="12.75"/>
  <cols>
    <col min="1" max="1" width="5.00390625" style="3" customWidth="1"/>
    <col min="2" max="2" width="9.57421875" style="4" customWidth="1"/>
    <col min="3" max="4" width="8.00390625" style="5" customWidth="1"/>
    <col min="5" max="5" width="8.421875" style="6" customWidth="1"/>
    <col min="6" max="6" width="16.57421875" style="5" customWidth="1"/>
    <col min="7" max="8" width="19.00390625" style="5" customWidth="1"/>
    <col min="9" max="9" width="9.140625" style="7" customWidth="1"/>
    <col min="10" max="10" width="11.57421875" style="8" customWidth="1"/>
    <col min="11" max="11" width="13.00390625" style="9" customWidth="1"/>
    <col min="12" max="12" width="7.7109375" style="3" customWidth="1"/>
    <col min="13" max="13" width="10.140625" style="3" customWidth="1"/>
    <col min="14" max="14" width="13.140625" style="3" customWidth="1"/>
    <col min="15" max="15" width="7.7109375" style="10" customWidth="1"/>
    <col min="16" max="16" width="7.28125" style="6" customWidth="1"/>
    <col min="17" max="18" width="10.00390625" style="11" customWidth="1"/>
    <col min="19" max="19" width="8.140625" style="12" customWidth="1"/>
    <col min="20" max="20" width="7.8515625" style="13" customWidth="1"/>
    <col min="21" max="22" width="7.140625" style="6" customWidth="1"/>
    <col min="23" max="24" width="4.8515625" style="3" customWidth="1"/>
    <col min="25" max="25" width="8.00390625" style="10" customWidth="1"/>
    <col min="26" max="26" width="9.8515625" style="13" customWidth="1"/>
    <col min="27" max="16384" width="11.57421875" style="3" customWidth="1"/>
  </cols>
  <sheetData>
    <row r="1" spans="2:26" s="14" customFormat="1" ht="14.25">
      <c r="B1" s="15" t="s">
        <v>112</v>
      </c>
      <c r="C1" s="16"/>
      <c r="D1" s="16"/>
      <c r="E1" s="16"/>
      <c r="F1" s="16"/>
      <c r="G1" s="16"/>
      <c r="H1" s="16"/>
      <c r="I1" s="17"/>
      <c r="J1" s="16"/>
      <c r="K1" s="18"/>
      <c r="N1" s="17"/>
      <c r="O1" s="19"/>
      <c r="P1" s="16"/>
      <c r="Q1" s="20"/>
      <c r="R1" s="20"/>
      <c r="S1" s="21"/>
      <c r="T1" s="17"/>
      <c r="U1" s="16"/>
      <c r="V1" s="16"/>
      <c r="Y1" s="19">
        <f>COUNT(Y4:Y10000)</f>
        <v>35</v>
      </c>
      <c r="Z1" s="17"/>
    </row>
    <row r="2" spans="2:26" s="14" customFormat="1" ht="14.25">
      <c r="B2" s="15"/>
      <c r="C2" s="16"/>
      <c r="D2" s="16"/>
      <c r="E2" s="16"/>
      <c r="F2" s="16"/>
      <c r="G2" s="16"/>
      <c r="H2" s="16"/>
      <c r="I2" s="17"/>
      <c r="J2" s="16"/>
      <c r="K2" s="18"/>
      <c r="M2" s="16">
        <f>AVERAGE(N4:N10000)</f>
        <v>0.49375</v>
      </c>
      <c r="N2" s="17"/>
      <c r="O2" s="19"/>
      <c r="P2" s="16"/>
      <c r="Q2" s="20"/>
      <c r="R2" s="20"/>
      <c r="S2" s="21"/>
      <c r="T2" s="17"/>
      <c r="U2" s="16"/>
      <c r="V2" s="16"/>
      <c r="Y2" s="22">
        <f>1-Y3</f>
        <v>0.37142857142857144</v>
      </c>
      <c r="Z2" s="17"/>
    </row>
    <row r="3" spans="2:27" s="14" customFormat="1" ht="14.25">
      <c r="B3" s="15" t="s">
        <v>113</v>
      </c>
      <c r="C3" s="16" t="s">
        <v>5</v>
      </c>
      <c r="D3" s="16" t="s">
        <v>76</v>
      </c>
      <c r="E3" s="16" t="s">
        <v>114</v>
      </c>
      <c r="F3" s="16" t="s">
        <v>115</v>
      </c>
      <c r="G3" s="16" t="s">
        <v>116</v>
      </c>
      <c r="H3" s="16" t="s">
        <v>117</v>
      </c>
      <c r="I3" s="17" t="s">
        <v>118</v>
      </c>
      <c r="J3" s="16" t="s">
        <v>119</v>
      </c>
      <c r="K3" s="18" t="s">
        <v>120</v>
      </c>
      <c r="L3" s="14" t="s">
        <v>121</v>
      </c>
      <c r="M3" s="14" t="s">
        <v>122</v>
      </c>
      <c r="N3" s="23" t="s">
        <v>123</v>
      </c>
      <c r="O3" s="19" t="s">
        <v>121</v>
      </c>
      <c r="P3" s="16" t="s">
        <v>124</v>
      </c>
      <c r="Q3" s="20"/>
      <c r="R3" s="20"/>
      <c r="S3" s="21"/>
      <c r="T3" s="17">
        <f>AVERAGE(T4:T10000)</f>
        <v>0.0011883102787299926</v>
      </c>
      <c r="U3" s="24" t="s">
        <v>125</v>
      </c>
      <c r="V3" s="24" t="s">
        <v>126</v>
      </c>
      <c r="Y3" s="22">
        <f>AVERAGE(Y4:Y10000)</f>
        <v>0.6285714285714286</v>
      </c>
      <c r="Z3" s="17">
        <f>AVERAGE(Z4:Z10000)</f>
        <v>0.00376756570838798</v>
      </c>
      <c r="AA3" s="14" t="s">
        <v>127</v>
      </c>
    </row>
    <row r="4" spans="1:26" ht="14.25">
      <c r="A4" s="3">
        <f aca="true" t="shared" si="0" ref="A4:A7">A5-1</f>
        <v>1</v>
      </c>
      <c r="B4" s="25">
        <v>41547</v>
      </c>
      <c r="C4" s="5">
        <v>0.5778</v>
      </c>
      <c r="D4" s="5">
        <v>0.4222</v>
      </c>
      <c r="E4" s="6">
        <f aca="true" t="shared" si="1" ref="E4:E167">C4-D4</f>
        <v>0.15559999999999996</v>
      </c>
      <c r="F4" s="5">
        <v>0.678</v>
      </c>
      <c r="G4" s="5">
        <v>0.677</v>
      </c>
      <c r="H4" s="5">
        <v>0.681</v>
      </c>
      <c r="I4" s="13">
        <f aca="true" t="shared" si="2" ref="I4:I167">G4-H4</f>
        <v>-0.0040000000000000036</v>
      </c>
      <c r="J4" s="6">
        <f aca="true" t="shared" si="3" ref="J4:J24">IF(C4&gt;D4,"Higher","Lower")</f>
        <v>0</v>
      </c>
      <c r="L4" s="3">
        <f aca="true" t="shared" si="4" ref="L4:L166">IF(O4=1,"Higher","Lower")</f>
        <v>0</v>
      </c>
      <c r="M4" s="26">
        <f aca="true" t="shared" si="5" ref="M4:M24">IF(J4=L4,"Yes","No")</f>
        <v>0</v>
      </c>
      <c r="N4" s="3">
        <f aca="true" t="shared" si="6" ref="N4:N24">IF(M4="Yes",1,0)</f>
        <v>0</v>
      </c>
      <c r="O4" s="10">
        <f aca="true" t="shared" si="7" ref="O4:O166">IF(S4&gt;0,1,0)</f>
        <v>0</v>
      </c>
      <c r="Q4" s="11">
        <v>15249.8</v>
      </c>
      <c r="R4" s="11">
        <v>15072.6</v>
      </c>
      <c r="S4" s="12">
        <f aca="true" t="shared" si="8" ref="S4:S166">R4-Q4</f>
        <v>-177.1999999999989</v>
      </c>
      <c r="T4" s="13">
        <f aca="true" t="shared" si="9" ref="T4:T166">S4/Q4</f>
        <v>-0.011619824522288746</v>
      </c>
      <c r="W4" s="3">
        <f aca="true" t="shared" si="10" ref="W4:W167">IF(AND(E4&gt;0,E4&gt;0.1),1,0)</f>
        <v>1</v>
      </c>
      <c r="X4" s="3">
        <f aca="true" t="shared" si="11" ref="X4:X167">IF(AND(I4&gt;0,I4&gt;0),1,0)</f>
        <v>0</v>
      </c>
      <c r="Y4" s="10">
        <f aca="true" t="shared" si="12" ref="Y4:Y166">IF(SUM(W4:X4)=2,O4,"")</f>
        <v>0</v>
      </c>
      <c r="Z4" s="13">
        <f aca="true" t="shared" si="13" ref="Z4:Z166">IF(SUM(W4:X4)=2,T4,"")</f>
        <v>0</v>
      </c>
    </row>
    <row r="5" spans="1:26" ht="14.25">
      <c r="A5" s="3">
        <f t="shared" si="0"/>
        <v>2</v>
      </c>
      <c r="B5" s="25">
        <v>41554</v>
      </c>
      <c r="C5" s="5">
        <v>0.5565</v>
      </c>
      <c r="D5" s="5">
        <v>0.4444</v>
      </c>
      <c r="E5" s="6">
        <f t="shared" si="1"/>
        <v>0.11209999999999998</v>
      </c>
      <c r="F5" s="5">
        <v>0.713</v>
      </c>
      <c r="G5" s="5">
        <v>0.773</v>
      </c>
      <c r="H5" s="5">
        <v>0.638</v>
      </c>
      <c r="I5" s="13">
        <f t="shared" si="2"/>
        <v>0.135</v>
      </c>
      <c r="J5" s="6">
        <f t="shared" si="3"/>
        <v>0</v>
      </c>
      <c r="L5" s="3">
        <f t="shared" si="4"/>
        <v>0</v>
      </c>
      <c r="M5" s="26">
        <f t="shared" si="5"/>
        <v>0</v>
      </c>
      <c r="N5" s="3">
        <f t="shared" si="6"/>
        <v>1</v>
      </c>
      <c r="O5" s="10">
        <f t="shared" si="7"/>
        <v>1</v>
      </c>
      <c r="P5" s="6">
        <f aca="true" t="shared" si="14" ref="P5:P166">AVERAGE(N$4:N5)</f>
        <v>0.5</v>
      </c>
      <c r="Q5" s="11">
        <v>15069.3</v>
      </c>
      <c r="R5" s="11">
        <v>15237.1</v>
      </c>
      <c r="S5" s="12">
        <f t="shared" si="8"/>
        <v>167.8000000000011</v>
      </c>
      <c r="T5" s="13">
        <f t="shared" si="9"/>
        <v>0.011135221941297943</v>
      </c>
      <c r="W5" s="3">
        <f t="shared" si="10"/>
        <v>1</v>
      </c>
      <c r="X5" s="3">
        <f t="shared" si="11"/>
        <v>1</v>
      </c>
      <c r="Y5" s="10">
        <f t="shared" si="12"/>
        <v>1</v>
      </c>
      <c r="Z5" s="13">
        <f t="shared" si="13"/>
        <v>0.011135221941297943</v>
      </c>
    </row>
    <row r="6" spans="1:26" ht="14.25">
      <c r="A6" s="3">
        <f t="shared" si="0"/>
        <v>3</v>
      </c>
      <c r="B6" s="25">
        <v>41561</v>
      </c>
      <c r="C6" s="5">
        <v>0.5667</v>
      </c>
      <c r="D6" s="5">
        <v>0.4333</v>
      </c>
      <c r="E6" s="6">
        <f t="shared" si="1"/>
        <v>0.13339999999999996</v>
      </c>
      <c r="F6" s="5">
        <v>0.63</v>
      </c>
      <c r="G6" s="5">
        <v>0.65</v>
      </c>
      <c r="H6" s="5">
        <v>0.61</v>
      </c>
      <c r="I6" s="13">
        <f t="shared" si="2"/>
        <v>0.040000000000000036</v>
      </c>
      <c r="J6" s="6">
        <f t="shared" si="3"/>
        <v>0</v>
      </c>
      <c r="L6" s="3">
        <f t="shared" si="4"/>
        <v>0</v>
      </c>
      <c r="M6" s="26">
        <f t="shared" si="5"/>
        <v>0</v>
      </c>
      <c r="N6" s="3">
        <f t="shared" si="6"/>
        <v>1</v>
      </c>
      <c r="O6" s="10">
        <f t="shared" si="7"/>
        <v>1</v>
      </c>
      <c r="P6" s="6">
        <f t="shared" si="14"/>
        <v>0.6666666666666666</v>
      </c>
      <c r="Q6" s="11">
        <v>15231.3</v>
      </c>
      <c r="R6" s="11">
        <v>15399.7</v>
      </c>
      <c r="S6" s="12">
        <f t="shared" si="8"/>
        <v>168.40000000000146</v>
      </c>
      <c r="T6" s="13">
        <f t="shared" si="9"/>
        <v>0.011056180365431805</v>
      </c>
      <c r="W6" s="3">
        <f t="shared" si="10"/>
        <v>1</v>
      </c>
      <c r="X6" s="3">
        <f t="shared" si="11"/>
        <v>1</v>
      </c>
      <c r="Y6" s="10">
        <f t="shared" si="12"/>
        <v>1</v>
      </c>
      <c r="Z6" s="13">
        <f t="shared" si="13"/>
        <v>0.011056180365431805</v>
      </c>
    </row>
    <row r="7" spans="1:26" ht="14.25">
      <c r="A7" s="3">
        <f t="shared" si="0"/>
        <v>4</v>
      </c>
      <c r="B7" s="25">
        <v>41568</v>
      </c>
      <c r="C7" s="5">
        <v>0.6667000000000001</v>
      </c>
      <c r="D7" s="5">
        <v>0.33330000000000004</v>
      </c>
      <c r="E7" s="6">
        <f t="shared" si="1"/>
        <v>0.33340000000000003</v>
      </c>
      <c r="F7" s="5">
        <v>0.56</v>
      </c>
      <c r="G7" s="5">
        <v>0.59</v>
      </c>
      <c r="H7" s="5">
        <v>0.5</v>
      </c>
      <c r="I7" s="13">
        <f t="shared" si="2"/>
        <v>0.08999999999999997</v>
      </c>
      <c r="J7" s="6">
        <f t="shared" si="3"/>
        <v>0</v>
      </c>
      <c r="L7" s="3">
        <f t="shared" si="4"/>
        <v>0</v>
      </c>
      <c r="M7" s="26">
        <f t="shared" si="5"/>
        <v>0</v>
      </c>
      <c r="N7" s="3">
        <f t="shared" si="6"/>
        <v>1</v>
      </c>
      <c r="O7" s="10">
        <f t="shared" si="7"/>
        <v>1</v>
      </c>
      <c r="P7" s="6">
        <f t="shared" si="14"/>
        <v>0.75</v>
      </c>
      <c r="Q7" s="11">
        <v>15401.3</v>
      </c>
      <c r="R7" s="11">
        <v>15570.3</v>
      </c>
      <c r="S7" s="12">
        <f t="shared" si="8"/>
        <v>169</v>
      </c>
      <c r="T7" s="13">
        <f t="shared" si="9"/>
        <v>0.010973099673404194</v>
      </c>
      <c r="W7" s="3">
        <f t="shared" si="10"/>
        <v>1</v>
      </c>
      <c r="X7" s="3">
        <f t="shared" si="11"/>
        <v>1</v>
      </c>
      <c r="Y7" s="10">
        <f t="shared" si="12"/>
        <v>1</v>
      </c>
      <c r="Z7" s="13">
        <f t="shared" si="13"/>
        <v>0.010973099673404194</v>
      </c>
    </row>
    <row r="8" spans="1:26" ht="14.25">
      <c r="A8" s="3">
        <v>5</v>
      </c>
      <c r="B8" s="25">
        <v>41575</v>
      </c>
      <c r="C8" s="5">
        <v>0.6538</v>
      </c>
      <c r="D8" s="5">
        <v>0.3462</v>
      </c>
      <c r="E8" s="6">
        <f t="shared" si="1"/>
        <v>0.30760000000000004</v>
      </c>
      <c r="F8" s="5">
        <v>0.6</v>
      </c>
      <c r="G8" s="5">
        <v>0.625</v>
      </c>
      <c r="H8" s="5">
        <v>0.556</v>
      </c>
      <c r="I8" s="13">
        <f t="shared" si="2"/>
        <v>0.06899999999999995</v>
      </c>
      <c r="J8" s="6">
        <f t="shared" si="3"/>
        <v>0</v>
      </c>
      <c r="L8" s="3">
        <f t="shared" si="4"/>
        <v>0</v>
      </c>
      <c r="M8" s="26">
        <f t="shared" si="5"/>
        <v>0</v>
      </c>
      <c r="N8" s="3">
        <f t="shared" si="6"/>
        <v>1</v>
      </c>
      <c r="O8" s="10">
        <f t="shared" si="7"/>
        <v>1</v>
      </c>
      <c r="P8" s="6">
        <f t="shared" si="14"/>
        <v>0.8</v>
      </c>
      <c r="Q8" s="11">
        <v>15569.2</v>
      </c>
      <c r="R8" s="11">
        <v>15615.55</v>
      </c>
      <c r="S8" s="12">
        <f t="shared" si="8"/>
        <v>46.349999999998545</v>
      </c>
      <c r="T8" s="13">
        <f t="shared" si="9"/>
        <v>0.002977031575161122</v>
      </c>
      <c r="W8" s="3">
        <f t="shared" si="10"/>
        <v>1</v>
      </c>
      <c r="X8" s="3">
        <f t="shared" si="11"/>
        <v>1</v>
      </c>
      <c r="Y8" s="10">
        <f t="shared" si="12"/>
        <v>1</v>
      </c>
      <c r="Z8" s="13">
        <f t="shared" si="13"/>
        <v>0.002977031575161122</v>
      </c>
    </row>
    <row r="9" spans="1:26" ht="14.25">
      <c r="A9" s="3">
        <f aca="true" t="shared" si="15" ref="A9:A22">A10-1</f>
        <v>7</v>
      </c>
      <c r="B9" s="25">
        <v>41589</v>
      </c>
      <c r="C9" s="5">
        <v>0.5385</v>
      </c>
      <c r="D9" s="5">
        <v>0.4615</v>
      </c>
      <c r="E9" s="6">
        <f t="shared" si="1"/>
        <v>0.07699999999999996</v>
      </c>
      <c r="F9" s="5">
        <v>0.715</v>
      </c>
      <c r="G9" s="5">
        <v>0.729</v>
      </c>
      <c r="H9" s="5">
        <v>0.7</v>
      </c>
      <c r="I9" s="13">
        <f t="shared" si="2"/>
        <v>0.029000000000000026</v>
      </c>
      <c r="J9" s="6">
        <f t="shared" si="3"/>
        <v>0</v>
      </c>
      <c r="L9" s="3">
        <f t="shared" si="4"/>
        <v>0</v>
      </c>
      <c r="M9" s="26">
        <f t="shared" si="5"/>
        <v>0</v>
      </c>
      <c r="N9" s="3">
        <f t="shared" si="6"/>
        <v>1</v>
      </c>
      <c r="O9" s="10">
        <f t="shared" si="7"/>
        <v>1</v>
      </c>
      <c r="P9" s="6">
        <f t="shared" si="14"/>
        <v>0.8333333333333334</v>
      </c>
      <c r="Q9" s="11">
        <v>1769.96</v>
      </c>
      <c r="R9" s="11">
        <v>1798.18</v>
      </c>
      <c r="S9" s="12">
        <f t="shared" si="8"/>
        <v>28.220000000000027</v>
      </c>
      <c r="T9" s="13">
        <f t="shared" si="9"/>
        <v>0.01594386313815003</v>
      </c>
      <c r="W9" s="3">
        <f t="shared" si="10"/>
        <v>0</v>
      </c>
      <c r="X9" s="3">
        <f t="shared" si="11"/>
        <v>1</v>
      </c>
      <c r="Y9" s="10">
        <f t="shared" si="12"/>
        <v>0</v>
      </c>
      <c r="Z9" s="13">
        <f t="shared" si="13"/>
        <v>0</v>
      </c>
    </row>
    <row r="10" spans="1:26" ht="14.25">
      <c r="A10" s="3">
        <f t="shared" si="15"/>
        <v>8</v>
      </c>
      <c r="B10" s="25">
        <v>41596</v>
      </c>
      <c r="C10" s="5">
        <v>0.6842</v>
      </c>
      <c r="D10" s="5">
        <v>0.3158</v>
      </c>
      <c r="E10" s="6">
        <f t="shared" si="1"/>
        <v>0.3684</v>
      </c>
      <c r="F10" s="5">
        <v>0.6</v>
      </c>
      <c r="G10" s="5">
        <v>0.639</v>
      </c>
      <c r="H10" s="5">
        <v>0.5</v>
      </c>
      <c r="I10" s="13">
        <f t="shared" si="2"/>
        <v>0.139</v>
      </c>
      <c r="J10" s="6">
        <f t="shared" si="3"/>
        <v>0</v>
      </c>
      <c r="L10" s="3">
        <f t="shared" si="4"/>
        <v>0</v>
      </c>
      <c r="M10" s="26">
        <f t="shared" si="5"/>
        <v>0</v>
      </c>
      <c r="N10" s="3">
        <f t="shared" si="6"/>
        <v>1</v>
      </c>
      <c r="O10" s="10">
        <f t="shared" si="7"/>
        <v>1</v>
      </c>
      <c r="P10" s="6">
        <f t="shared" si="14"/>
        <v>0.8571428571428571</v>
      </c>
      <c r="Q10" s="11">
        <v>1798.82</v>
      </c>
      <c r="R10" s="11">
        <v>1804.76</v>
      </c>
      <c r="S10" s="12">
        <f t="shared" si="8"/>
        <v>5.940000000000055</v>
      </c>
      <c r="T10" s="13">
        <f t="shared" si="9"/>
        <v>0.0033021647524488582</v>
      </c>
      <c r="W10" s="3">
        <f t="shared" si="10"/>
        <v>1</v>
      </c>
      <c r="X10" s="3">
        <f t="shared" si="11"/>
        <v>1</v>
      </c>
      <c r="Y10" s="10">
        <f t="shared" si="12"/>
        <v>1</v>
      </c>
      <c r="Z10" s="13">
        <f t="shared" si="13"/>
        <v>0.0033021647524488582</v>
      </c>
    </row>
    <row r="11" spans="1:26" ht="14.25">
      <c r="A11" s="3">
        <f t="shared" si="15"/>
        <v>9</v>
      </c>
      <c r="B11" s="25">
        <v>41603</v>
      </c>
      <c r="C11" s="5">
        <v>0.5385</v>
      </c>
      <c r="D11" s="5">
        <v>0.4615</v>
      </c>
      <c r="E11" s="6">
        <f t="shared" si="1"/>
        <v>0.07699999999999996</v>
      </c>
      <c r="F11" s="5">
        <v>0.5750000000000001</v>
      </c>
      <c r="G11" s="5">
        <v>0.583</v>
      </c>
      <c r="H11" s="5">
        <v>0.5670000000000001</v>
      </c>
      <c r="I11" s="13">
        <f t="shared" si="2"/>
        <v>0.015999999999999903</v>
      </c>
      <c r="J11" s="6">
        <f t="shared" si="3"/>
        <v>0</v>
      </c>
      <c r="L11" s="3">
        <f t="shared" si="4"/>
        <v>0</v>
      </c>
      <c r="M11" s="26">
        <f t="shared" si="5"/>
        <v>0</v>
      </c>
      <c r="N11" s="3">
        <f t="shared" si="6"/>
        <v>0</v>
      </c>
      <c r="O11" s="10">
        <f t="shared" si="7"/>
        <v>0</v>
      </c>
      <c r="P11" s="6">
        <f t="shared" si="14"/>
        <v>0.75</v>
      </c>
      <c r="Q11" s="11">
        <v>1806.33</v>
      </c>
      <c r="R11" s="11">
        <v>1805.81</v>
      </c>
      <c r="S11" s="12">
        <f t="shared" si="8"/>
        <v>-0.5199999999999818</v>
      </c>
      <c r="T11" s="13">
        <f t="shared" si="9"/>
        <v>-0.00028787652311592114</v>
      </c>
      <c r="W11" s="3">
        <f t="shared" si="10"/>
        <v>0</v>
      </c>
      <c r="X11" s="3">
        <f t="shared" si="11"/>
        <v>1</v>
      </c>
      <c r="Y11" s="10">
        <f t="shared" si="12"/>
        <v>0</v>
      </c>
      <c r="Z11" s="13">
        <f t="shared" si="13"/>
        <v>0</v>
      </c>
    </row>
    <row r="12" spans="1:26" ht="14.25">
      <c r="A12" s="3">
        <f t="shared" si="15"/>
        <v>10</v>
      </c>
      <c r="B12" s="25">
        <v>41610</v>
      </c>
      <c r="C12" s="5">
        <v>0.6667000000000001</v>
      </c>
      <c r="D12" s="5">
        <v>0.33330000000000004</v>
      </c>
      <c r="E12" s="6">
        <f t="shared" si="1"/>
        <v>0.33340000000000003</v>
      </c>
      <c r="F12" s="5">
        <v>0.556</v>
      </c>
      <c r="G12" s="5">
        <v>0.608</v>
      </c>
      <c r="H12" s="5">
        <v>0.45</v>
      </c>
      <c r="I12" s="13">
        <f t="shared" si="2"/>
        <v>0.15799999999999997</v>
      </c>
      <c r="J12" s="6">
        <f t="shared" si="3"/>
        <v>0</v>
      </c>
      <c r="L12" s="3">
        <f t="shared" si="4"/>
        <v>0</v>
      </c>
      <c r="M12" s="26">
        <f t="shared" si="5"/>
        <v>0</v>
      </c>
      <c r="N12" s="3">
        <f t="shared" si="6"/>
        <v>0</v>
      </c>
      <c r="O12" s="10">
        <f t="shared" si="7"/>
        <v>0</v>
      </c>
      <c r="P12" s="6">
        <f t="shared" si="14"/>
        <v>0.6666666666666666</v>
      </c>
      <c r="Q12" s="11">
        <v>1806.55</v>
      </c>
      <c r="R12" s="11">
        <v>1805.09</v>
      </c>
      <c r="S12" s="12">
        <f t="shared" si="8"/>
        <v>-1.4600000000000364</v>
      </c>
      <c r="T12" s="13">
        <f t="shared" si="9"/>
        <v>-0.0008081702692978531</v>
      </c>
      <c r="W12" s="3">
        <f t="shared" si="10"/>
        <v>1</v>
      </c>
      <c r="X12" s="3">
        <f t="shared" si="11"/>
        <v>1</v>
      </c>
      <c r="Y12" s="10">
        <f t="shared" si="12"/>
        <v>0</v>
      </c>
      <c r="Z12" s="13">
        <f t="shared" si="13"/>
        <v>-0.0008081702692978531</v>
      </c>
    </row>
    <row r="13" spans="1:26" ht="14.25">
      <c r="A13" s="3">
        <f t="shared" si="15"/>
        <v>11</v>
      </c>
      <c r="B13" s="25">
        <v>41617</v>
      </c>
      <c r="C13" s="5">
        <v>0.6154000000000001</v>
      </c>
      <c r="D13" s="5">
        <v>0.3846</v>
      </c>
      <c r="E13" s="6">
        <f t="shared" si="1"/>
        <v>0.23080000000000006</v>
      </c>
      <c r="F13" s="5">
        <v>0.577</v>
      </c>
      <c r="G13" s="5">
        <v>0.588</v>
      </c>
      <c r="H13" s="5">
        <v>0.56</v>
      </c>
      <c r="I13" s="13">
        <f t="shared" si="2"/>
        <v>0.027999999999999914</v>
      </c>
      <c r="J13" s="6">
        <f t="shared" si="3"/>
        <v>0</v>
      </c>
      <c r="L13" s="3">
        <f t="shared" si="4"/>
        <v>0</v>
      </c>
      <c r="M13" s="26">
        <f t="shared" si="5"/>
        <v>0</v>
      </c>
      <c r="N13" s="3">
        <f t="shared" si="6"/>
        <v>0</v>
      </c>
      <c r="O13" s="10">
        <f t="shared" si="7"/>
        <v>0</v>
      </c>
      <c r="P13" s="6">
        <f t="shared" si="14"/>
        <v>0.6</v>
      </c>
      <c r="Q13" s="11">
        <v>1806.21</v>
      </c>
      <c r="R13" s="11">
        <v>1775.32</v>
      </c>
      <c r="S13" s="12">
        <f t="shared" si="8"/>
        <v>-30.8900000000001</v>
      </c>
      <c r="T13" s="13">
        <f t="shared" si="9"/>
        <v>-0.01710210883562825</v>
      </c>
      <c r="W13" s="3">
        <f t="shared" si="10"/>
        <v>1</v>
      </c>
      <c r="X13" s="3">
        <f t="shared" si="11"/>
        <v>1</v>
      </c>
      <c r="Y13" s="10">
        <f t="shared" si="12"/>
        <v>0</v>
      </c>
      <c r="Z13" s="13">
        <f t="shared" si="13"/>
        <v>-0.01710210883562825</v>
      </c>
    </row>
    <row r="14" spans="1:26" ht="14.25">
      <c r="A14" s="3">
        <f t="shared" si="15"/>
        <v>12</v>
      </c>
      <c r="B14" s="25">
        <v>41624</v>
      </c>
      <c r="C14" s="5">
        <v>0.5333</v>
      </c>
      <c r="D14" s="5">
        <v>0.4667</v>
      </c>
      <c r="E14" s="6">
        <f t="shared" si="1"/>
        <v>0.06659999999999999</v>
      </c>
      <c r="F14" s="5">
        <v>0.653</v>
      </c>
      <c r="G14" s="5">
        <v>0.675</v>
      </c>
      <c r="H14" s="5">
        <v>0.629</v>
      </c>
      <c r="I14" s="13">
        <f t="shared" si="2"/>
        <v>0.04600000000000004</v>
      </c>
      <c r="J14" s="6">
        <f t="shared" si="3"/>
        <v>0</v>
      </c>
      <c r="L14" s="3">
        <f t="shared" si="4"/>
        <v>0</v>
      </c>
      <c r="M14" s="26">
        <f t="shared" si="5"/>
        <v>0</v>
      </c>
      <c r="N14" s="3">
        <f t="shared" si="6"/>
        <v>1</v>
      </c>
      <c r="O14" s="10">
        <f t="shared" si="7"/>
        <v>1</v>
      </c>
      <c r="P14" s="6">
        <f t="shared" si="14"/>
        <v>0.6363636363636364</v>
      </c>
      <c r="Q14" s="11">
        <v>1777.48</v>
      </c>
      <c r="R14" s="11">
        <v>1818.32</v>
      </c>
      <c r="S14" s="12">
        <f t="shared" si="8"/>
        <v>40.83999999999992</v>
      </c>
      <c r="T14" s="13">
        <f t="shared" si="9"/>
        <v>0.022976348538380133</v>
      </c>
      <c r="U14" s="6">
        <f aca="true" t="shared" si="16" ref="U14:U166">AVERAGE(N4:N14)</f>
        <v>0.6363636363636364</v>
      </c>
      <c r="W14" s="3">
        <f t="shared" si="10"/>
        <v>0</v>
      </c>
      <c r="X14" s="3">
        <f t="shared" si="11"/>
        <v>1</v>
      </c>
      <c r="Y14" s="10">
        <f t="shared" si="12"/>
        <v>0</v>
      </c>
      <c r="Z14" s="13">
        <f t="shared" si="13"/>
        <v>0</v>
      </c>
    </row>
    <row r="15" spans="1:26" ht="14.25">
      <c r="A15" s="3">
        <f t="shared" si="15"/>
        <v>13</v>
      </c>
      <c r="B15" s="25">
        <v>41631</v>
      </c>
      <c r="C15" s="5">
        <v>0.625</v>
      </c>
      <c r="D15" s="5">
        <v>0.375</v>
      </c>
      <c r="E15" s="6">
        <f t="shared" si="1"/>
        <v>0.25</v>
      </c>
      <c r="F15" s="5">
        <v>0.608</v>
      </c>
      <c r="G15" s="5">
        <v>0.667</v>
      </c>
      <c r="H15" s="5">
        <v>0.511</v>
      </c>
      <c r="I15" s="13">
        <f t="shared" si="2"/>
        <v>0.15600000000000003</v>
      </c>
      <c r="J15" s="6">
        <f t="shared" si="3"/>
        <v>0</v>
      </c>
      <c r="L15" s="3">
        <f t="shared" si="4"/>
        <v>0</v>
      </c>
      <c r="M15" s="26">
        <f t="shared" si="5"/>
        <v>0</v>
      </c>
      <c r="N15" s="3">
        <f t="shared" si="6"/>
        <v>1</v>
      </c>
      <c r="O15" s="10">
        <f t="shared" si="7"/>
        <v>1</v>
      </c>
      <c r="P15" s="6">
        <f t="shared" si="14"/>
        <v>0.6666666666666666</v>
      </c>
      <c r="Q15" s="11">
        <v>1822.92</v>
      </c>
      <c r="R15" s="11">
        <v>1841.4</v>
      </c>
      <c r="S15" s="12">
        <f t="shared" si="8"/>
        <v>18.480000000000018</v>
      </c>
      <c r="T15" s="13">
        <f t="shared" si="9"/>
        <v>0.010137581462708193</v>
      </c>
      <c r="U15" s="6">
        <f t="shared" si="16"/>
        <v>0.7272727272727273</v>
      </c>
      <c r="W15" s="3">
        <f t="shared" si="10"/>
        <v>1</v>
      </c>
      <c r="X15" s="3">
        <f t="shared" si="11"/>
        <v>1</v>
      </c>
      <c r="Y15" s="10">
        <f t="shared" si="12"/>
        <v>1</v>
      </c>
      <c r="Z15" s="13">
        <f t="shared" si="13"/>
        <v>0.010137581462708193</v>
      </c>
    </row>
    <row r="16" spans="1:26" ht="14.25">
      <c r="A16" s="3">
        <f t="shared" si="15"/>
        <v>14</v>
      </c>
      <c r="B16" s="25">
        <v>41638</v>
      </c>
      <c r="C16" s="5">
        <v>0.5832999999999999</v>
      </c>
      <c r="D16" s="5">
        <v>0.4167</v>
      </c>
      <c r="E16" s="6">
        <f t="shared" si="1"/>
        <v>0.16659999999999991</v>
      </c>
      <c r="F16" s="5">
        <v>0.642</v>
      </c>
      <c r="G16" s="5">
        <v>0.686</v>
      </c>
      <c r="H16" s="5">
        <v>0.58</v>
      </c>
      <c r="I16" s="13">
        <f t="shared" si="2"/>
        <v>0.1060000000000001</v>
      </c>
      <c r="J16" s="6">
        <f t="shared" si="3"/>
        <v>0</v>
      </c>
      <c r="L16" s="3">
        <f t="shared" si="4"/>
        <v>0</v>
      </c>
      <c r="M16" s="26">
        <f t="shared" si="5"/>
        <v>0</v>
      </c>
      <c r="N16" s="3">
        <f t="shared" si="6"/>
        <v>0</v>
      </c>
      <c r="O16" s="10">
        <f t="shared" si="7"/>
        <v>0</v>
      </c>
      <c r="P16" s="6">
        <f t="shared" si="14"/>
        <v>0.6153846153846154</v>
      </c>
      <c r="Q16" s="11">
        <v>1841.47</v>
      </c>
      <c r="R16" s="11">
        <v>1831.37</v>
      </c>
      <c r="S16" s="12">
        <f t="shared" si="8"/>
        <v>-10.100000000000136</v>
      </c>
      <c r="T16" s="13">
        <f t="shared" si="9"/>
        <v>-0.005484748597587871</v>
      </c>
      <c r="U16" s="6">
        <f t="shared" si="16"/>
        <v>0.6363636363636364</v>
      </c>
      <c r="W16" s="3">
        <f t="shared" si="10"/>
        <v>1</v>
      </c>
      <c r="X16" s="3">
        <f t="shared" si="11"/>
        <v>1</v>
      </c>
      <c r="Y16" s="10">
        <f t="shared" si="12"/>
        <v>0</v>
      </c>
      <c r="Z16" s="13">
        <f t="shared" si="13"/>
        <v>-0.005484748597587871</v>
      </c>
    </row>
    <row r="17" spans="1:26" ht="14.25">
      <c r="A17" s="3">
        <f t="shared" si="15"/>
        <v>15</v>
      </c>
      <c r="B17" s="25">
        <v>41645</v>
      </c>
      <c r="C17" s="5">
        <v>0.4706</v>
      </c>
      <c r="D17" s="5">
        <v>0.5294</v>
      </c>
      <c r="E17" s="6">
        <f t="shared" si="1"/>
        <v>-0.05879999999999996</v>
      </c>
      <c r="F17" s="5">
        <v>0.64</v>
      </c>
      <c r="G17" s="5">
        <v>0.638</v>
      </c>
      <c r="H17" s="5">
        <v>0.643</v>
      </c>
      <c r="I17" s="13">
        <f t="shared" si="2"/>
        <v>-0.0050000000000000044</v>
      </c>
      <c r="J17" s="6">
        <f t="shared" si="3"/>
        <v>0</v>
      </c>
      <c r="L17" s="3">
        <f t="shared" si="4"/>
        <v>0</v>
      </c>
      <c r="M17" s="26">
        <f t="shared" si="5"/>
        <v>0</v>
      </c>
      <c r="N17" s="3">
        <f t="shared" si="6"/>
        <v>0</v>
      </c>
      <c r="O17" s="10">
        <f t="shared" si="7"/>
        <v>1</v>
      </c>
      <c r="P17" s="6">
        <f t="shared" si="14"/>
        <v>0.5714285714285714</v>
      </c>
      <c r="Q17" s="11">
        <v>1832.31</v>
      </c>
      <c r="R17" s="11">
        <v>1842.37</v>
      </c>
      <c r="S17" s="12">
        <f t="shared" si="8"/>
        <v>10.059999999999945</v>
      </c>
      <c r="T17" s="13">
        <f t="shared" si="9"/>
        <v>0.005490337333748081</v>
      </c>
      <c r="U17" s="6">
        <f t="shared" si="16"/>
        <v>0.5454545454545454</v>
      </c>
      <c r="W17" s="3">
        <f t="shared" si="10"/>
        <v>0</v>
      </c>
      <c r="X17" s="3">
        <f t="shared" si="11"/>
        <v>0</v>
      </c>
      <c r="Y17" s="10">
        <f t="shared" si="12"/>
        <v>0</v>
      </c>
      <c r="Z17" s="13">
        <f t="shared" si="13"/>
        <v>0</v>
      </c>
    </row>
    <row r="18" spans="1:26" ht="14.25">
      <c r="A18" s="3">
        <f t="shared" si="15"/>
        <v>16</v>
      </c>
      <c r="B18" s="25">
        <v>41652</v>
      </c>
      <c r="C18" s="5">
        <v>0.667</v>
      </c>
      <c r="D18" s="5">
        <v>0.33299999999999996</v>
      </c>
      <c r="E18" s="6">
        <f t="shared" si="1"/>
        <v>0.3340000000000001</v>
      </c>
      <c r="F18" s="5">
        <v>0.613</v>
      </c>
      <c r="G18" s="5">
        <v>0.64</v>
      </c>
      <c r="H18" s="5">
        <v>0.56</v>
      </c>
      <c r="I18" s="13">
        <f t="shared" si="2"/>
        <v>0.07999999999999996</v>
      </c>
      <c r="J18" s="6">
        <f t="shared" si="3"/>
        <v>0</v>
      </c>
      <c r="L18" s="3">
        <f t="shared" si="4"/>
        <v>0</v>
      </c>
      <c r="M18" s="26">
        <f t="shared" si="5"/>
        <v>0</v>
      </c>
      <c r="N18" s="3">
        <f t="shared" si="6"/>
        <v>0</v>
      </c>
      <c r="O18" s="10">
        <f t="shared" si="7"/>
        <v>0</v>
      </c>
      <c r="P18" s="6">
        <f t="shared" si="14"/>
        <v>0.5333333333333333</v>
      </c>
      <c r="Q18" s="11">
        <v>1841.26</v>
      </c>
      <c r="R18" s="11">
        <v>1838.7</v>
      </c>
      <c r="S18" s="12">
        <f t="shared" si="8"/>
        <v>-2.5599999999999454</v>
      </c>
      <c r="T18" s="13">
        <f t="shared" si="9"/>
        <v>-0.0013903522587792845</v>
      </c>
      <c r="U18" s="6">
        <f t="shared" si="16"/>
        <v>0.45454545454545453</v>
      </c>
      <c r="W18" s="3">
        <f t="shared" si="10"/>
        <v>1</v>
      </c>
      <c r="X18" s="3">
        <f t="shared" si="11"/>
        <v>1</v>
      </c>
      <c r="Y18" s="10">
        <f t="shared" si="12"/>
        <v>0</v>
      </c>
      <c r="Z18" s="13">
        <f t="shared" si="13"/>
        <v>-0.0013903522587792845</v>
      </c>
    </row>
    <row r="19" spans="1:26" ht="14.25">
      <c r="A19" s="3">
        <f t="shared" si="15"/>
        <v>17</v>
      </c>
      <c r="B19" s="25">
        <f aca="true" t="shared" si="17" ref="B19:B21">B18+7</f>
        <v>41659</v>
      </c>
      <c r="C19" s="5">
        <v>0.647</v>
      </c>
      <c r="D19" s="5">
        <f aca="true" t="shared" si="18" ref="D19:D20">1-C19</f>
        <v>0.353</v>
      </c>
      <c r="E19" s="6">
        <f t="shared" si="1"/>
        <v>0.29400000000000004</v>
      </c>
      <c r="F19" s="5">
        <v>0.588</v>
      </c>
      <c r="G19" s="5">
        <v>0.6</v>
      </c>
      <c r="H19" s="5">
        <v>0.5670000000000001</v>
      </c>
      <c r="I19" s="13">
        <f t="shared" si="2"/>
        <v>0.03299999999999992</v>
      </c>
      <c r="J19" s="6">
        <f t="shared" si="3"/>
        <v>0</v>
      </c>
      <c r="L19" s="3">
        <f t="shared" si="4"/>
        <v>0</v>
      </c>
      <c r="M19" s="26">
        <f t="shared" si="5"/>
        <v>0</v>
      </c>
      <c r="N19" s="3">
        <f t="shared" si="6"/>
        <v>0</v>
      </c>
      <c r="O19" s="10">
        <f t="shared" si="7"/>
        <v>0</v>
      </c>
      <c r="P19" s="6">
        <f t="shared" si="14"/>
        <v>0.5</v>
      </c>
      <c r="Q19" s="11">
        <v>1841.05</v>
      </c>
      <c r="R19" s="11">
        <v>1790.29</v>
      </c>
      <c r="S19" s="12">
        <f t="shared" si="8"/>
        <v>-50.75999999999999</v>
      </c>
      <c r="T19" s="13">
        <f t="shared" si="9"/>
        <v>-0.02757122294342902</v>
      </c>
      <c r="U19" s="6">
        <f t="shared" si="16"/>
        <v>0.36363636363636365</v>
      </c>
      <c r="W19" s="3">
        <f t="shared" si="10"/>
        <v>1</v>
      </c>
      <c r="X19" s="3">
        <f t="shared" si="11"/>
        <v>1</v>
      </c>
      <c r="Y19" s="10">
        <f t="shared" si="12"/>
        <v>0</v>
      </c>
      <c r="Z19" s="13">
        <f t="shared" si="13"/>
        <v>-0.02757122294342902</v>
      </c>
    </row>
    <row r="20" spans="1:26" ht="14.25">
      <c r="A20" s="3">
        <f t="shared" si="15"/>
        <v>18</v>
      </c>
      <c r="B20" s="25">
        <f t="shared" si="17"/>
        <v>41666</v>
      </c>
      <c r="C20" s="5">
        <v>0.5714285714285714</v>
      </c>
      <c r="D20" s="5">
        <f t="shared" si="18"/>
        <v>0.4285714285714286</v>
      </c>
      <c r="E20" s="6">
        <f t="shared" si="1"/>
        <v>0.1428571428571428</v>
      </c>
      <c r="F20" s="5">
        <v>0.686</v>
      </c>
      <c r="G20" s="5">
        <v>0.638</v>
      </c>
      <c r="H20" s="5">
        <v>0.75</v>
      </c>
      <c r="I20" s="13">
        <f t="shared" si="2"/>
        <v>-0.11199999999999999</v>
      </c>
      <c r="J20" s="6">
        <f t="shared" si="3"/>
        <v>0</v>
      </c>
      <c r="L20" s="3">
        <f t="shared" si="4"/>
        <v>0</v>
      </c>
      <c r="M20" s="26">
        <f t="shared" si="5"/>
        <v>0</v>
      </c>
      <c r="N20" s="3">
        <f t="shared" si="6"/>
        <v>0</v>
      </c>
      <c r="O20" s="10">
        <f t="shared" si="7"/>
        <v>0</v>
      </c>
      <c r="P20" s="6">
        <f t="shared" si="14"/>
        <v>0.47058823529411764</v>
      </c>
      <c r="Q20" s="11">
        <v>1791.03</v>
      </c>
      <c r="R20" s="11">
        <v>1782.59</v>
      </c>
      <c r="S20" s="12">
        <f t="shared" si="8"/>
        <v>-8.440000000000055</v>
      </c>
      <c r="T20" s="13">
        <f t="shared" si="9"/>
        <v>-0.0047123722104041</v>
      </c>
      <c r="U20" s="6">
        <f t="shared" si="16"/>
        <v>0.2727272727272727</v>
      </c>
      <c r="W20" s="3">
        <f t="shared" si="10"/>
        <v>1</v>
      </c>
      <c r="X20" s="3">
        <f t="shared" si="11"/>
        <v>0</v>
      </c>
      <c r="Y20" s="10">
        <f t="shared" si="12"/>
        <v>0</v>
      </c>
      <c r="Z20" s="13">
        <f t="shared" si="13"/>
        <v>0</v>
      </c>
    </row>
    <row r="21" spans="1:26" ht="14.25">
      <c r="A21" s="3">
        <f t="shared" si="15"/>
        <v>19</v>
      </c>
      <c r="B21" s="25">
        <f t="shared" si="17"/>
        <v>41673</v>
      </c>
      <c r="C21" s="5">
        <v>0.42850000000000005</v>
      </c>
      <c r="D21" s="5">
        <v>0.5714</v>
      </c>
      <c r="E21" s="6">
        <f t="shared" si="1"/>
        <v>-0.14289999999999997</v>
      </c>
      <c r="F21" s="5">
        <v>0.671</v>
      </c>
      <c r="G21" s="5">
        <v>0.7</v>
      </c>
      <c r="H21" s="5">
        <v>0.65</v>
      </c>
      <c r="I21" s="13">
        <f t="shared" si="2"/>
        <v>0.04999999999999993</v>
      </c>
      <c r="J21" s="6">
        <f t="shared" si="3"/>
        <v>0</v>
      </c>
      <c r="L21" s="3">
        <f t="shared" si="4"/>
        <v>0</v>
      </c>
      <c r="M21" s="26">
        <f t="shared" si="5"/>
        <v>0</v>
      </c>
      <c r="N21" s="3">
        <f t="shared" si="6"/>
        <v>0</v>
      </c>
      <c r="O21" s="10">
        <f t="shared" si="7"/>
        <v>1</v>
      </c>
      <c r="P21" s="6">
        <f t="shared" si="14"/>
        <v>0.4444444444444444</v>
      </c>
      <c r="Q21" s="11">
        <v>1782.68</v>
      </c>
      <c r="R21" s="11">
        <v>1797.02</v>
      </c>
      <c r="S21" s="12">
        <f t="shared" si="8"/>
        <v>14.339999999999918</v>
      </c>
      <c r="T21" s="13">
        <f t="shared" si="9"/>
        <v>0.008044068481163145</v>
      </c>
      <c r="U21" s="6">
        <f t="shared" si="16"/>
        <v>0.18181818181818182</v>
      </c>
      <c r="W21" s="3">
        <f t="shared" si="10"/>
        <v>0</v>
      </c>
      <c r="X21" s="3">
        <f t="shared" si="11"/>
        <v>1</v>
      </c>
      <c r="Y21" s="10">
        <f t="shared" si="12"/>
        <v>0</v>
      </c>
      <c r="Z21" s="13">
        <f t="shared" si="13"/>
        <v>0</v>
      </c>
    </row>
    <row r="22" spans="1:26" ht="14.25">
      <c r="A22" s="3">
        <f t="shared" si="15"/>
        <v>20</v>
      </c>
      <c r="B22" s="25">
        <v>41680</v>
      </c>
      <c r="C22" s="5">
        <v>0.688</v>
      </c>
      <c r="D22" s="5">
        <v>0.3125</v>
      </c>
      <c r="E22" s="6">
        <f t="shared" si="1"/>
        <v>0.37549999999999994</v>
      </c>
      <c r="F22" s="5">
        <v>0.664</v>
      </c>
      <c r="G22" s="5">
        <v>0.667</v>
      </c>
      <c r="H22" s="5">
        <v>0.66</v>
      </c>
      <c r="I22" s="13">
        <f t="shared" si="2"/>
        <v>0.007000000000000006</v>
      </c>
      <c r="J22" s="6">
        <f t="shared" si="3"/>
        <v>0</v>
      </c>
      <c r="L22" s="3">
        <f t="shared" si="4"/>
        <v>0</v>
      </c>
      <c r="M22" s="26">
        <f t="shared" si="5"/>
        <v>0</v>
      </c>
      <c r="N22" s="3">
        <f t="shared" si="6"/>
        <v>1</v>
      </c>
      <c r="O22" s="10">
        <f t="shared" si="7"/>
        <v>1</v>
      </c>
      <c r="P22" s="6">
        <f t="shared" si="14"/>
        <v>0.47368421052631576</v>
      </c>
      <c r="Q22" s="11">
        <v>1796.2</v>
      </c>
      <c r="R22" s="11">
        <v>1838.63</v>
      </c>
      <c r="S22" s="12">
        <f t="shared" si="8"/>
        <v>42.430000000000064</v>
      </c>
      <c r="T22" s="13">
        <f t="shared" si="9"/>
        <v>0.023622091081171397</v>
      </c>
      <c r="U22" s="6">
        <f t="shared" si="16"/>
        <v>0.2727272727272727</v>
      </c>
      <c r="W22" s="3">
        <f t="shared" si="10"/>
        <v>1</v>
      </c>
      <c r="X22" s="3">
        <f t="shared" si="11"/>
        <v>1</v>
      </c>
      <c r="Y22" s="10">
        <f t="shared" si="12"/>
        <v>1</v>
      </c>
      <c r="Z22" s="13">
        <f t="shared" si="13"/>
        <v>0.023622091081171397</v>
      </c>
    </row>
    <row r="23" spans="1:26" ht="14.25">
      <c r="A23" s="3">
        <v>21</v>
      </c>
      <c r="B23" s="25">
        <v>41687</v>
      </c>
      <c r="C23" s="5">
        <f>15/28</f>
        <v>0.5357142857142857</v>
      </c>
      <c r="D23" s="5">
        <f>13/28</f>
        <v>0.4642857142857143</v>
      </c>
      <c r="E23" s="6">
        <f t="shared" si="1"/>
        <v>0.0714285714285714</v>
      </c>
      <c r="F23" s="5">
        <v>0.637</v>
      </c>
      <c r="G23" s="5">
        <v>0.657</v>
      </c>
      <c r="H23" s="5">
        <v>0.615</v>
      </c>
      <c r="I23" s="13">
        <f t="shared" si="2"/>
        <v>0.04200000000000004</v>
      </c>
      <c r="J23" s="6">
        <f t="shared" si="3"/>
        <v>0</v>
      </c>
      <c r="L23" s="3">
        <f t="shared" si="4"/>
        <v>0</v>
      </c>
      <c r="M23" s="26">
        <f t="shared" si="5"/>
        <v>0</v>
      </c>
      <c r="N23" s="3">
        <f t="shared" si="6"/>
        <v>0</v>
      </c>
      <c r="O23" s="10">
        <f t="shared" si="7"/>
        <v>0</v>
      </c>
      <c r="P23" s="6">
        <f t="shared" si="14"/>
        <v>0.45</v>
      </c>
      <c r="Q23" s="11">
        <v>1839.03</v>
      </c>
      <c r="R23" s="11">
        <v>1836.25</v>
      </c>
      <c r="S23" s="12">
        <f t="shared" si="8"/>
        <v>-2.7799999999999727</v>
      </c>
      <c r="T23" s="13">
        <f t="shared" si="9"/>
        <v>-0.00151166647634893</v>
      </c>
      <c r="U23" s="6">
        <f t="shared" si="16"/>
        <v>0.2727272727272727</v>
      </c>
      <c r="W23" s="3">
        <f t="shared" si="10"/>
        <v>0</v>
      </c>
      <c r="X23" s="3">
        <f t="shared" si="11"/>
        <v>1</v>
      </c>
      <c r="Y23" s="10">
        <f t="shared" si="12"/>
        <v>0</v>
      </c>
      <c r="Z23" s="13">
        <f t="shared" si="13"/>
        <v>0</v>
      </c>
    </row>
    <row r="24" spans="1:26" ht="14.25">
      <c r="A24" s="3">
        <f aca="true" t="shared" si="19" ref="A24:A164">A23+1</f>
        <v>22</v>
      </c>
      <c r="B24" s="25">
        <f aca="true" t="shared" si="20" ref="B24:B167">B23+7</f>
        <v>41694</v>
      </c>
      <c r="C24" s="5">
        <f>7/17</f>
        <v>0.4117647058823529</v>
      </c>
      <c r="D24" s="5">
        <f>10/17</f>
        <v>0.5882352941176471</v>
      </c>
      <c r="E24" s="6">
        <f t="shared" si="1"/>
        <v>-0.17647058823529416</v>
      </c>
      <c r="F24" s="5">
        <v>0.671</v>
      </c>
      <c r="G24" s="5">
        <v>0.686</v>
      </c>
      <c r="H24" s="5">
        <v>0.66</v>
      </c>
      <c r="I24" s="13">
        <f t="shared" si="2"/>
        <v>0.026000000000000023</v>
      </c>
      <c r="J24" s="6">
        <f t="shared" si="3"/>
        <v>0</v>
      </c>
      <c r="L24" s="3">
        <f t="shared" si="4"/>
        <v>0</v>
      </c>
      <c r="M24" s="26">
        <f t="shared" si="5"/>
        <v>0</v>
      </c>
      <c r="N24" s="3">
        <f t="shared" si="6"/>
        <v>0</v>
      </c>
      <c r="O24" s="10">
        <f t="shared" si="7"/>
        <v>1</v>
      </c>
      <c r="P24" s="6">
        <f t="shared" si="14"/>
        <v>0.42857142857142855</v>
      </c>
      <c r="Q24" s="11">
        <v>1836.78</v>
      </c>
      <c r="R24" s="11">
        <v>1859.45</v>
      </c>
      <c r="S24" s="12">
        <f t="shared" si="8"/>
        <v>22.670000000000073</v>
      </c>
      <c r="T24" s="13">
        <f t="shared" si="9"/>
        <v>0.012342251113361466</v>
      </c>
      <c r="U24" s="6">
        <f t="shared" si="16"/>
        <v>0.2727272727272727</v>
      </c>
      <c r="W24" s="3">
        <f t="shared" si="10"/>
        <v>0</v>
      </c>
      <c r="X24" s="3">
        <f t="shared" si="11"/>
        <v>1</v>
      </c>
      <c r="Y24" s="10">
        <f t="shared" si="12"/>
        <v>0</v>
      </c>
      <c r="Z24" s="13">
        <f t="shared" si="13"/>
        <v>0</v>
      </c>
    </row>
    <row r="25" spans="1:26" ht="14.25">
      <c r="A25" s="3">
        <f t="shared" si="19"/>
        <v>23</v>
      </c>
      <c r="B25" s="25">
        <f t="shared" si="20"/>
        <v>41701</v>
      </c>
      <c r="C25" s="5">
        <v>0.5</v>
      </c>
      <c r="D25" s="5">
        <v>0.5</v>
      </c>
      <c r="E25" s="6">
        <f t="shared" si="1"/>
        <v>0</v>
      </c>
      <c r="F25" s="5">
        <v>0.612</v>
      </c>
      <c r="G25" s="5">
        <v>0.577</v>
      </c>
      <c r="H25" s="5">
        <v>0.646</v>
      </c>
      <c r="I25" s="13">
        <f t="shared" si="2"/>
        <v>-0.06900000000000006</v>
      </c>
      <c r="J25" s="3" t="s">
        <v>128</v>
      </c>
      <c r="L25" s="3">
        <f t="shared" si="4"/>
        <v>0</v>
      </c>
      <c r="M25" s="3" t="s">
        <v>128</v>
      </c>
      <c r="N25" s="3" t="s">
        <v>128</v>
      </c>
      <c r="O25" s="10">
        <f t="shared" si="7"/>
        <v>1</v>
      </c>
      <c r="P25" s="6">
        <f t="shared" si="14"/>
        <v>0.42857142857142855</v>
      </c>
      <c r="Q25" s="11">
        <v>1857.68</v>
      </c>
      <c r="R25" s="11">
        <v>1878.04</v>
      </c>
      <c r="S25" s="12">
        <f t="shared" si="8"/>
        <v>20.3599999999999</v>
      </c>
      <c r="T25" s="13">
        <f t="shared" si="9"/>
        <v>0.010959906980750129</v>
      </c>
      <c r="U25" s="6">
        <f t="shared" si="16"/>
        <v>0.2</v>
      </c>
      <c r="W25" s="3">
        <f t="shared" si="10"/>
        <v>0</v>
      </c>
      <c r="X25" s="3">
        <f t="shared" si="11"/>
        <v>0</v>
      </c>
      <c r="Y25" s="10">
        <f t="shared" si="12"/>
        <v>0</v>
      </c>
      <c r="Z25" s="13">
        <f t="shared" si="13"/>
        <v>0</v>
      </c>
    </row>
    <row r="26" spans="1:26" ht="14.25">
      <c r="A26" s="3">
        <f t="shared" si="19"/>
        <v>24</v>
      </c>
      <c r="B26" s="25">
        <f t="shared" si="20"/>
        <v>41708</v>
      </c>
      <c r="C26" s="5">
        <f>5/20</f>
        <v>0.25</v>
      </c>
      <c r="D26" s="5">
        <f>15/20</f>
        <v>0.75</v>
      </c>
      <c r="E26" s="6">
        <f t="shared" si="1"/>
        <v>-0.5</v>
      </c>
      <c r="F26" s="5">
        <v>0.675</v>
      </c>
      <c r="G26" s="5">
        <v>0.68</v>
      </c>
      <c r="H26" s="5">
        <v>0.673</v>
      </c>
      <c r="I26" s="13">
        <f t="shared" si="2"/>
        <v>0.007000000000000006</v>
      </c>
      <c r="J26" s="6">
        <f aca="true" t="shared" si="21" ref="J26:J30">IF(C26&gt;D26,"Higher","Lower")</f>
        <v>0</v>
      </c>
      <c r="L26" s="3">
        <f t="shared" si="4"/>
        <v>0</v>
      </c>
      <c r="M26" s="26">
        <f aca="true" t="shared" si="22" ref="M26:M30">IF(J26=L26,"Yes","No")</f>
        <v>0</v>
      </c>
      <c r="N26" s="3">
        <f aca="true" t="shared" si="23" ref="N26:N30">IF(M26="Yes",1,0)</f>
        <v>1</v>
      </c>
      <c r="O26" s="10">
        <f t="shared" si="7"/>
        <v>0</v>
      </c>
      <c r="P26" s="6">
        <f t="shared" si="14"/>
        <v>0.45454545454545453</v>
      </c>
      <c r="Q26" s="11">
        <v>1877.86</v>
      </c>
      <c r="R26" s="11">
        <v>1841.13</v>
      </c>
      <c r="S26" s="12">
        <f t="shared" si="8"/>
        <v>-36.72999999999979</v>
      </c>
      <c r="T26" s="13">
        <f t="shared" si="9"/>
        <v>-0.019559498578168657</v>
      </c>
      <c r="U26" s="6">
        <f t="shared" si="16"/>
        <v>0.2</v>
      </c>
      <c r="W26" s="3">
        <f t="shared" si="10"/>
        <v>0</v>
      </c>
      <c r="X26" s="3">
        <f t="shared" si="11"/>
        <v>1</v>
      </c>
      <c r="Y26" s="10">
        <f t="shared" si="12"/>
        <v>0</v>
      </c>
      <c r="Z26" s="13">
        <f t="shared" si="13"/>
        <v>0</v>
      </c>
    </row>
    <row r="27" spans="1:26" ht="14.25">
      <c r="A27" s="3">
        <f t="shared" si="19"/>
        <v>25</v>
      </c>
      <c r="B27" s="25">
        <f t="shared" si="20"/>
        <v>41715</v>
      </c>
      <c r="C27" s="5">
        <f>3/11</f>
        <v>0.2727272727272727</v>
      </c>
      <c r="D27" s="5">
        <f>8/11</f>
        <v>0.7272727272727273</v>
      </c>
      <c r="E27" s="6">
        <f t="shared" si="1"/>
        <v>-0.4545454545454546</v>
      </c>
      <c r="F27" s="5">
        <v>0.63</v>
      </c>
      <c r="G27" s="5">
        <v>0.6</v>
      </c>
      <c r="H27" s="5">
        <v>0.643</v>
      </c>
      <c r="I27" s="13">
        <f t="shared" si="2"/>
        <v>-0.04300000000000004</v>
      </c>
      <c r="J27" s="6">
        <f t="shared" si="21"/>
        <v>0</v>
      </c>
      <c r="L27" s="3">
        <f t="shared" si="4"/>
        <v>0</v>
      </c>
      <c r="M27" s="26">
        <f t="shared" si="22"/>
        <v>0</v>
      </c>
      <c r="N27" s="3">
        <f t="shared" si="23"/>
        <v>0</v>
      </c>
      <c r="O27" s="10">
        <f t="shared" si="7"/>
        <v>1</v>
      </c>
      <c r="P27" s="6">
        <f t="shared" si="14"/>
        <v>0.43478260869565216</v>
      </c>
      <c r="Q27" s="11">
        <v>1842.81</v>
      </c>
      <c r="R27" s="11">
        <v>1866.52</v>
      </c>
      <c r="S27" s="12">
        <f t="shared" si="8"/>
        <v>23.710000000000036</v>
      </c>
      <c r="T27" s="13">
        <f t="shared" si="9"/>
        <v>0.012866220608744275</v>
      </c>
      <c r="U27" s="6">
        <f t="shared" si="16"/>
        <v>0.2</v>
      </c>
      <c r="W27" s="3">
        <f t="shared" si="10"/>
        <v>0</v>
      </c>
      <c r="X27" s="3">
        <f t="shared" si="11"/>
        <v>0</v>
      </c>
      <c r="Y27" s="10">
        <f t="shared" si="12"/>
        <v>0</v>
      </c>
      <c r="Z27" s="13">
        <f t="shared" si="13"/>
        <v>0</v>
      </c>
    </row>
    <row r="28" spans="1:26" ht="14.25">
      <c r="A28" s="3">
        <f t="shared" si="19"/>
        <v>26</v>
      </c>
      <c r="B28" s="25">
        <f t="shared" si="20"/>
        <v>41722</v>
      </c>
      <c r="C28" s="5">
        <f>15/26</f>
        <v>0.5769230769230769</v>
      </c>
      <c r="D28" s="5">
        <f>11/26</f>
        <v>0.4230769230769231</v>
      </c>
      <c r="E28" s="6">
        <f t="shared" si="1"/>
        <v>0.1538461538461538</v>
      </c>
      <c r="F28" s="5">
        <v>0.623</v>
      </c>
      <c r="G28" s="5">
        <v>0.613</v>
      </c>
      <c r="H28" s="5">
        <v>0.636</v>
      </c>
      <c r="I28" s="13">
        <f t="shared" si="2"/>
        <v>-0.02300000000000002</v>
      </c>
      <c r="J28" s="6">
        <f t="shared" si="21"/>
        <v>0</v>
      </c>
      <c r="L28" s="3">
        <f t="shared" si="4"/>
        <v>0</v>
      </c>
      <c r="M28" s="26">
        <f t="shared" si="22"/>
        <v>0</v>
      </c>
      <c r="N28" s="3">
        <f t="shared" si="23"/>
        <v>0</v>
      </c>
      <c r="O28" s="10">
        <f t="shared" si="7"/>
        <v>0</v>
      </c>
      <c r="P28" s="6">
        <f t="shared" si="14"/>
        <v>0.4166666666666667</v>
      </c>
      <c r="Q28" s="11">
        <v>1859.48</v>
      </c>
      <c r="R28" s="11">
        <v>1857.62</v>
      </c>
      <c r="S28" s="12">
        <f t="shared" si="8"/>
        <v>-1.8600000000001273</v>
      </c>
      <c r="T28" s="13">
        <f t="shared" si="9"/>
        <v>-0.0010002796480737236</v>
      </c>
      <c r="U28" s="6">
        <f t="shared" si="16"/>
        <v>0.2</v>
      </c>
      <c r="W28" s="3">
        <f t="shared" si="10"/>
        <v>1</v>
      </c>
      <c r="X28" s="3">
        <f t="shared" si="11"/>
        <v>0</v>
      </c>
      <c r="Y28" s="10">
        <f t="shared" si="12"/>
        <v>0</v>
      </c>
      <c r="Z28" s="13">
        <f t="shared" si="13"/>
        <v>0</v>
      </c>
    </row>
    <row r="29" spans="1:26" ht="14.25">
      <c r="A29" s="3">
        <f t="shared" si="19"/>
        <v>27</v>
      </c>
      <c r="B29" s="25">
        <f t="shared" si="20"/>
        <v>41729</v>
      </c>
      <c r="C29" s="5">
        <f>17/35</f>
        <v>0.4857142857142857</v>
      </c>
      <c r="D29" s="5">
        <f>18/35</f>
        <v>0.5142857142857142</v>
      </c>
      <c r="E29" s="6">
        <f t="shared" si="1"/>
        <v>-0.028571428571428525</v>
      </c>
      <c r="F29" s="5">
        <v>0.637</v>
      </c>
      <c r="G29" s="5">
        <v>0.6</v>
      </c>
      <c r="H29" s="5">
        <v>0.672</v>
      </c>
      <c r="I29" s="13">
        <f t="shared" si="2"/>
        <v>-0.07200000000000006</v>
      </c>
      <c r="J29" s="6">
        <f t="shared" si="21"/>
        <v>0</v>
      </c>
      <c r="L29" s="3">
        <f t="shared" si="4"/>
        <v>0</v>
      </c>
      <c r="M29" s="26">
        <f t="shared" si="22"/>
        <v>0</v>
      </c>
      <c r="N29" s="3">
        <f t="shared" si="23"/>
        <v>0</v>
      </c>
      <c r="O29" s="10">
        <f t="shared" si="7"/>
        <v>1</v>
      </c>
      <c r="P29" s="6">
        <f t="shared" si="14"/>
        <v>0.4</v>
      </c>
      <c r="Q29" s="11">
        <v>1859.16</v>
      </c>
      <c r="R29" s="11">
        <v>1865.09</v>
      </c>
      <c r="S29" s="12">
        <f t="shared" si="8"/>
        <v>5.929999999999836</v>
      </c>
      <c r="T29" s="13">
        <f t="shared" si="9"/>
        <v>0.003189612513177906</v>
      </c>
      <c r="U29" s="6">
        <f t="shared" si="16"/>
        <v>0.2</v>
      </c>
      <c r="W29" s="3">
        <f t="shared" si="10"/>
        <v>0</v>
      </c>
      <c r="X29" s="3">
        <f t="shared" si="11"/>
        <v>0</v>
      </c>
      <c r="Y29" s="10">
        <f t="shared" si="12"/>
        <v>0</v>
      </c>
      <c r="Z29" s="13">
        <f t="shared" si="13"/>
        <v>0</v>
      </c>
    </row>
    <row r="30" spans="1:26" ht="14.25">
      <c r="A30" s="3">
        <f t="shared" si="19"/>
        <v>28</v>
      </c>
      <c r="B30" s="25">
        <f t="shared" si="20"/>
        <v>41736</v>
      </c>
      <c r="C30" s="5">
        <f>10/22</f>
        <v>0.45454545454545453</v>
      </c>
      <c r="D30" s="5">
        <f>12/22</f>
        <v>0.5454545454545454</v>
      </c>
      <c r="E30" s="6">
        <f t="shared" si="1"/>
        <v>-0.09090909090909088</v>
      </c>
      <c r="F30" s="5">
        <v>0.6910000000000001</v>
      </c>
      <c r="G30" s="5">
        <v>0.63</v>
      </c>
      <c r="H30" s="5">
        <v>0.742</v>
      </c>
      <c r="I30" s="13">
        <f t="shared" si="2"/>
        <v>-0.11199999999999999</v>
      </c>
      <c r="J30" s="6">
        <f t="shared" si="21"/>
        <v>0</v>
      </c>
      <c r="L30" s="3">
        <f t="shared" si="4"/>
        <v>0</v>
      </c>
      <c r="M30" s="26">
        <f t="shared" si="22"/>
        <v>0</v>
      </c>
      <c r="N30" s="3">
        <f t="shared" si="23"/>
        <v>1</v>
      </c>
      <c r="O30" s="10">
        <f t="shared" si="7"/>
        <v>0</v>
      </c>
      <c r="P30" s="6">
        <f t="shared" si="14"/>
        <v>0.4230769230769231</v>
      </c>
      <c r="Q30" s="11">
        <v>1863.92</v>
      </c>
      <c r="R30" s="11">
        <v>1815.69</v>
      </c>
      <c r="S30" s="12">
        <f t="shared" si="8"/>
        <v>-48.23000000000002</v>
      </c>
      <c r="T30" s="13">
        <f t="shared" si="9"/>
        <v>-0.025875574058972495</v>
      </c>
      <c r="U30" s="6">
        <f t="shared" si="16"/>
        <v>0.3</v>
      </c>
      <c r="W30" s="3">
        <f t="shared" si="10"/>
        <v>0</v>
      </c>
      <c r="X30" s="3">
        <f t="shared" si="11"/>
        <v>0</v>
      </c>
      <c r="Y30" s="10">
        <f t="shared" si="12"/>
        <v>0</v>
      </c>
      <c r="Z30" s="13">
        <f t="shared" si="13"/>
        <v>0</v>
      </c>
    </row>
    <row r="31" spans="1:26" ht="14.25">
      <c r="A31" s="3">
        <f t="shared" si="19"/>
        <v>29</v>
      </c>
      <c r="B31" s="25">
        <f t="shared" si="20"/>
        <v>41743</v>
      </c>
      <c r="C31" s="5">
        <v>0.5</v>
      </c>
      <c r="D31" s="5">
        <v>0.5</v>
      </c>
      <c r="E31" s="6">
        <f t="shared" si="1"/>
        <v>0</v>
      </c>
      <c r="F31" s="5">
        <v>0.707</v>
      </c>
      <c r="G31" s="5">
        <v>0.743</v>
      </c>
      <c r="H31" s="5">
        <v>0.671</v>
      </c>
      <c r="I31" s="13">
        <f t="shared" si="2"/>
        <v>0.07199999999999995</v>
      </c>
      <c r="J31" s="3" t="s">
        <v>128</v>
      </c>
      <c r="L31" s="3">
        <f t="shared" si="4"/>
        <v>0</v>
      </c>
      <c r="M31" s="3" t="s">
        <v>128</v>
      </c>
      <c r="N31" s="3" t="s">
        <v>128</v>
      </c>
      <c r="O31" s="10">
        <f t="shared" si="7"/>
        <v>1</v>
      </c>
      <c r="P31" s="6">
        <f t="shared" si="14"/>
        <v>0.4230769230769231</v>
      </c>
      <c r="Q31" s="11">
        <v>1818.18</v>
      </c>
      <c r="R31" s="11">
        <v>1864.85</v>
      </c>
      <c r="S31" s="12">
        <f t="shared" si="8"/>
        <v>46.669999999999845</v>
      </c>
      <c r="T31" s="13">
        <f t="shared" si="9"/>
        <v>0.025668525668525583</v>
      </c>
      <c r="U31" s="6">
        <f t="shared" si="16"/>
        <v>0.3333333333333333</v>
      </c>
      <c r="W31" s="3">
        <f t="shared" si="10"/>
        <v>0</v>
      </c>
      <c r="X31" s="3">
        <f t="shared" si="11"/>
        <v>1</v>
      </c>
      <c r="Y31" s="10">
        <f t="shared" si="12"/>
        <v>0</v>
      </c>
      <c r="Z31" s="13">
        <f t="shared" si="13"/>
        <v>0</v>
      </c>
    </row>
    <row r="32" spans="1:26" ht="14.25">
      <c r="A32" s="3">
        <f t="shared" si="19"/>
        <v>30</v>
      </c>
      <c r="B32" s="25">
        <f t="shared" si="20"/>
        <v>41750</v>
      </c>
      <c r="C32" s="5">
        <f>92/151</f>
        <v>0.609271523178808</v>
      </c>
      <c r="D32" s="5">
        <f>59/151</f>
        <v>0.39072847682119205</v>
      </c>
      <c r="E32" s="6">
        <f t="shared" si="1"/>
        <v>0.2185430463576159</v>
      </c>
      <c r="F32" s="5">
        <v>0.639</v>
      </c>
      <c r="G32" s="5">
        <v>0.676</v>
      </c>
      <c r="H32" s="5">
        <v>0.581</v>
      </c>
      <c r="I32" s="13">
        <f t="shared" si="2"/>
        <v>0.09500000000000008</v>
      </c>
      <c r="J32" s="6">
        <f aca="true" t="shared" si="24" ref="J32:J77">IF(C32&gt;D32,"Higher","Lower")</f>
        <v>0</v>
      </c>
      <c r="L32" s="3">
        <f t="shared" si="4"/>
        <v>0</v>
      </c>
      <c r="M32" s="26">
        <f aca="true" t="shared" si="25" ref="M32:M77">IF(J32=L32,"Yes","No")</f>
        <v>0</v>
      </c>
      <c r="N32" s="3">
        <f aca="true" t="shared" si="26" ref="N32:N77">IF(M32="Yes",1,0)</f>
        <v>0</v>
      </c>
      <c r="O32" s="10">
        <f t="shared" si="7"/>
        <v>0</v>
      </c>
      <c r="P32" s="6">
        <f t="shared" si="14"/>
        <v>0.4074074074074074</v>
      </c>
      <c r="Q32" s="11">
        <v>1865.79</v>
      </c>
      <c r="R32" s="11">
        <v>1863.4</v>
      </c>
      <c r="S32" s="12">
        <f t="shared" si="8"/>
        <v>-2.3899999999998727</v>
      </c>
      <c r="T32" s="13">
        <f t="shared" si="9"/>
        <v>-0.0012809587359777213</v>
      </c>
      <c r="U32" s="6">
        <f t="shared" si="16"/>
        <v>0.3333333333333333</v>
      </c>
      <c r="W32" s="3">
        <f t="shared" si="10"/>
        <v>1</v>
      </c>
      <c r="X32" s="3">
        <f t="shared" si="11"/>
        <v>1</v>
      </c>
      <c r="Y32" s="10">
        <f t="shared" si="12"/>
        <v>0</v>
      </c>
      <c r="Z32" s="13">
        <f t="shared" si="13"/>
        <v>-0.0012809587359777213</v>
      </c>
    </row>
    <row r="33" spans="1:26" ht="14.25">
      <c r="A33" s="3">
        <f t="shared" si="19"/>
        <v>31</v>
      </c>
      <c r="B33" s="25">
        <f t="shared" si="20"/>
        <v>41757</v>
      </c>
      <c r="C33" s="5">
        <f>31/52</f>
        <v>0.5961538461538461</v>
      </c>
      <c r="D33" s="5">
        <f>21/52</f>
        <v>0.40384615384615385</v>
      </c>
      <c r="E33" s="6">
        <f t="shared" si="1"/>
        <v>0.1923076923076923</v>
      </c>
      <c r="F33" s="5">
        <v>0.5700000000000001</v>
      </c>
      <c r="G33" s="5">
        <v>0.542</v>
      </c>
      <c r="H33" s="5">
        <v>0.616</v>
      </c>
      <c r="I33" s="13">
        <f t="shared" si="2"/>
        <v>-0.07399999999999995</v>
      </c>
      <c r="J33" s="6">
        <f t="shared" si="24"/>
        <v>0</v>
      </c>
      <c r="L33" s="3">
        <f t="shared" si="4"/>
        <v>0</v>
      </c>
      <c r="M33" s="26">
        <f t="shared" si="25"/>
        <v>0</v>
      </c>
      <c r="N33" s="3">
        <f t="shared" si="26"/>
        <v>1</v>
      </c>
      <c r="O33" s="10">
        <f t="shared" si="7"/>
        <v>1</v>
      </c>
      <c r="P33" s="6">
        <f t="shared" si="14"/>
        <v>0.42857142857142855</v>
      </c>
      <c r="Q33" s="11">
        <v>1865</v>
      </c>
      <c r="R33" s="11">
        <v>1881.14</v>
      </c>
      <c r="S33" s="12">
        <f t="shared" si="8"/>
        <v>16.1400000000001</v>
      </c>
      <c r="T33" s="13">
        <f t="shared" si="9"/>
        <v>0.008654155495978606</v>
      </c>
      <c r="U33" s="6">
        <f t="shared" si="16"/>
        <v>0.3333333333333333</v>
      </c>
      <c r="W33" s="3">
        <f t="shared" si="10"/>
        <v>1</v>
      </c>
      <c r="X33" s="3">
        <f t="shared" si="11"/>
        <v>0</v>
      </c>
      <c r="Y33" s="10">
        <f t="shared" si="12"/>
        <v>0</v>
      </c>
      <c r="Z33" s="13">
        <f t="shared" si="13"/>
        <v>0</v>
      </c>
    </row>
    <row r="34" spans="1:26" ht="14.25">
      <c r="A34" s="3">
        <f t="shared" si="19"/>
        <v>32</v>
      </c>
      <c r="B34" s="25">
        <f t="shared" si="20"/>
        <v>41764</v>
      </c>
      <c r="C34" s="5">
        <f>25/48</f>
        <v>0.5208333333333334</v>
      </c>
      <c r="D34" s="5">
        <f>23/48</f>
        <v>0.4791666666666667</v>
      </c>
      <c r="E34" s="6">
        <f t="shared" si="1"/>
        <v>0.041666666666666685</v>
      </c>
      <c r="F34" s="5">
        <v>0.48</v>
      </c>
      <c r="G34" s="5">
        <v>0.52</v>
      </c>
      <c r="H34" s="5">
        <v>0.438</v>
      </c>
      <c r="I34" s="13">
        <f t="shared" si="2"/>
        <v>0.08200000000000002</v>
      </c>
      <c r="J34" s="6">
        <f t="shared" si="24"/>
        <v>0</v>
      </c>
      <c r="L34" s="3">
        <f t="shared" si="4"/>
        <v>0</v>
      </c>
      <c r="M34" s="26">
        <f t="shared" si="25"/>
        <v>0</v>
      </c>
      <c r="N34" s="3">
        <f t="shared" si="26"/>
        <v>0</v>
      </c>
      <c r="O34" s="10">
        <f t="shared" si="7"/>
        <v>0</v>
      </c>
      <c r="P34" s="6">
        <f t="shared" si="14"/>
        <v>0.41379310344827586</v>
      </c>
      <c r="Q34" s="11">
        <v>1879.45</v>
      </c>
      <c r="R34" s="11">
        <v>1878.48</v>
      </c>
      <c r="S34" s="12">
        <f t="shared" si="8"/>
        <v>-0.9700000000000273</v>
      </c>
      <c r="T34" s="13">
        <f t="shared" si="9"/>
        <v>-0.0005161084359786253</v>
      </c>
      <c r="U34" s="6">
        <f t="shared" si="16"/>
        <v>0.3333333333333333</v>
      </c>
      <c r="W34" s="3">
        <f t="shared" si="10"/>
        <v>0</v>
      </c>
      <c r="X34" s="3">
        <f t="shared" si="11"/>
        <v>1</v>
      </c>
      <c r="Y34" s="10">
        <f t="shared" si="12"/>
        <v>0</v>
      </c>
      <c r="Z34" s="13">
        <f t="shared" si="13"/>
        <v>0</v>
      </c>
    </row>
    <row r="35" spans="1:26" ht="14.25">
      <c r="A35" s="3">
        <f t="shared" si="19"/>
        <v>33</v>
      </c>
      <c r="B35" s="25">
        <f t="shared" si="20"/>
        <v>41771</v>
      </c>
      <c r="C35" s="5">
        <f>9/28</f>
        <v>0.32142857142857145</v>
      </c>
      <c r="D35" s="5">
        <f>19/28</f>
        <v>0.6785714285714286</v>
      </c>
      <c r="E35" s="6">
        <f t="shared" si="1"/>
        <v>-0.35714285714285715</v>
      </c>
      <c r="F35" s="5">
        <v>0.559</v>
      </c>
      <c r="G35" s="5">
        <v>0.5630000000000001</v>
      </c>
      <c r="H35" s="5">
        <v>0.558</v>
      </c>
      <c r="I35" s="13">
        <f t="shared" si="2"/>
        <v>0.0050000000000000044</v>
      </c>
      <c r="J35" s="6">
        <f t="shared" si="24"/>
        <v>0</v>
      </c>
      <c r="L35" s="3">
        <f t="shared" si="4"/>
        <v>0</v>
      </c>
      <c r="M35" s="26">
        <f t="shared" si="25"/>
        <v>0</v>
      </c>
      <c r="N35" s="3">
        <f t="shared" si="26"/>
        <v>1</v>
      </c>
      <c r="O35" s="10">
        <f t="shared" si="7"/>
        <v>0</v>
      </c>
      <c r="P35" s="6">
        <f t="shared" si="14"/>
        <v>0.43333333333333335</v>
      </c>
      <c r="Q35" s="11">
        <v>1880.03</v>
      </c>
      <c r="R35" s="11">
        <v>1877.86</v>
      </c>
      <c r="S35" s="12">
        <f t="shared" si="8"/>
        <v>-2.1700000000000728</v>
      </c>
      <c r="T35" s="13">
        <f t="shared" si="9"/>
        <v>-0.0011542369004750312</v>
      </c>
      <c r="U35" s="6">
        <f t="shared" si="16"/>
        <v>0.4444444444444444</v>
      </c>
      <c r="W35" s="3">
        <f t="shared" si="10"/>
        <v>0</v>
      </c>
      <c r="X35" s="3">
        <f t="shared" si="11"/>
        <v>1</v>
      </c>
      <c r="Y35" s="10">
        <f t="shared" si="12"/>
        <v>0</v>
      </c>
      <c r="Z35" s="13">
        <f t="shared" si="13"/>
        <v>0</v>
      </c>
    </row>
    <row r="36" spans="1:26" ht="14.25">
      <c r="A36" s="3">
        <f t="shared" si="19"/>
        <v>34</v>
      </c>
      <c r="B36" s="25">
        <f t="shared" si="20"/>
        <v>41778</v>
      </c>
      <c r="C36" s="5">
        <f>15/32</f>
        <v>0.46875</v>
      </c>
      <c r="D36" s="5">
        <f>17/32</f>
        <v>0.53125</v>
      </c>
      <c r="E36" s="6">
        <f t="shared" si="1"/>
        <v>-0.0625</v>
      </c>
      <c r="F36" s="5">
        <v>0.619</v>
      </c>
      <c r="G36" s="5">
        <v>0.78</v>
      </c>
      <c r="H36" s="5">
        <v>0.47700000000000004</v>
      </c>
      <c r="I36" s="13">
        <f t="shared" si="2"/>
        <v>0.303</v>
      </c>
      <c r="J36" s="6">
        <f t="shared" si="24"/>
        <v>0</v>
      </c>
      <c r="L36" s="3">
        <f t="shared" si="4"/>
        <v>0</v>
      </c>
      <c r="M36" s="26">
        <f t="shared" si="25"/>
        <v>0</v>
      </c>
      <c r="N36" s="3">
        <f t="shared" si="26"/>
        <v>0</v>
      </c>
      <c r="O36" s="10">
        <f t="shared" si="7"/>
        <v>1</v>
      </c>
      <c r="P36" s="6">
        <f t="shared" si="14"/>
        <v>0.41935483870967744</v>
      </c>
      <c r="Q36" s="11">
        <v>1876.66</v>
      </c>
      <c r="R36" s="11">
        <v>1900.53</v>
      </c>
      <c r="S36" s="12">
        <f t="shared" si="8"/>
        <v>23.86999999999989</v>
      </c>
      <c r="T36" s="13">
        <f t="shared" si="9"/>
        <v>0.012719405752773486</v>
      </c>
      <c r="U36" s="6">
        <f t="shared" si="16"/>
        <v>0.4</v>
      </c>
      <c r="W36" s="3">
        <f t="shared" si="10"/>
        <v>0</v>
      </c>
      <c r="X36" s="3">
        <f t="shared" si="11"/>
        <v>1</v>
      </c>
      <c r="Y36" s="10">
        <f t="shared" si="12"/>
        <v>0</v>
      </c>
      <c r="Z36" s="13">
        <f t="shared" si="13"/>
        <v>0</v>
      </c>
    </row>
    <row r="37" spans="1:26" ht="14.25">
      <c r="A37" s="3">
        <f t="shared" si="19"/>
        <v>35</v>
      </c>
      <c r="B37" s="25">
        <f t="shared" si="20"/>
        <v>41785</v>
      </c>
      <c r="C37" s="5">
        <f>13/22</f>
        <v>0.5909090909090909</v>
      </c>
      <c r="D37" s="5">
        <f>9/22</f>
        <v>0.4090909090909091</v>
      </c>
      <c r="E37" s="6">
        <f t="shared" si="1"/>
        <v>0.18181818181818182</v>
      </c>
      <c r="F37" s="5">
        <v>0.55</v>
      </c>
      <c r="G37" s="5">
        <v>0.631</v>
      </c>
      <c r="H37" s="5">
        <v>0.433</v>
      </c>
      <c r="I37" s="13">
        <f t="shared" si="2"/>
        <v>0.198</v>
      </c>
      <c r="J37" s="6">
        <f t="shared" si="24"/>
        <v>0</v>
      </c>
      <c r="L37" s="3">
        <f t="shared" si="4"/>
        <v>0</v>
      </c>
      <c r="M37" s="26">
        <f t="shared" si="25"/>
        <v>0</v>
      </c>
      <c r="N37" s="3">
        <f t="shared" si="26"/>
        <v>1</v>
      </c>
      <c r="O37" s="10">
        <f t="shared" si="7"/>
        <v>1</v>
      </c>
      <c r="P37" s="6">
        <f t="shared" si="14"/>
        <v>0.4375</v>
      </c>
      <c r="Q37" s="11">
        <v>1902.01</v>
      </c>
      <c r="R37" s="11">
        <v>1923.57</v>
      </c>
      <c r="S37" s="12">
        <f t="shared" si="8"/>
        <v>21.559999999999945</v>
      </c>
      <c r="T37" s="13">
        <f t="shared" si="9"/>
        <v>0.011335376785610984</v>
      </c>
      <c r="U37" s="6">
        <f t="shared" si="16"/>
        <v>0.4</v>
      </c>
      <c r="W37" s="3">
        <f t="shared" si="10"/>
        <v>1</v>
      </c>
      <c r="X37" s="3">
        <f t="shared" si="11"/>
        <v>1</v>
      </c>
      <c r="Y37" s="10">
        <f t="shared" si="12"/>
        <v>1</v>
      </c>
      <c r="Z37" s="13">
        <f t="shared" si="13"/>
        <v>0.011335376785610984</v>
      </c>
    </row>
    <row r="38" spans="1:26" ht="14.25">
      <c r="A38" s="3">
        <f t="shared" si="19"/>
        <v>36</v>
      </c>
      <c r="B38" s="25">
        <f t="shared" si="20"/>
        <v>41792</v>
      </c>
      <c r="C38" s="5">
        <f>24/41</f>
        <v>0.5853658536585366</v>
      </c>
      <c r="D38" s="5">
        <f>17/41</f>
        <v>0.4146341463414634</v>
      </c>
      <c r="E38" s="6">
        <f t="shared" si="1"/>
        <v>0.17073170731707316</v>
      </c>
      <c r="F38" s="5">
        <v>0.588</v>
      </c>
      <c r="G38" s="5">
        <v>0.596</v>
      </c>
      <c r="H38" s="5">
        <v>0.577</v>
      </c>
      <c r="I38" s="13">
        <f t="shared" si="2"/>
        <v>0.019000000000000017</v>
      </c>
      <c r="J38" s="6">
        <f t="shared" si="24"/>
        <v>0</v>
      </c>
      <c r="L38" s="3">
        <f t="shared" si="4"/>
        <v>0</v>
      </c>
      <c r="M38" s="26">
        <f t="shared" si="25"/>
        <v>0</v>
      </c>
      <c r="N38" s="3">
        <f t="shared" si="26"/>
        <v>1</v>
      </c>
      <c r="O38" s="10">
        <f t="shared" si="7"/>
        <v>1</v>
      </c>
      <c r="P38" s="6">
        <f t="shared" si="14"/>
        <v>0.45454545454545453</v>
      </c>
      <c r="Q38" s="11">
        <v>1923.87</v>
      </c>
      <c r="R38" s="11">
        <v>1949.44</v>
      </c>
      <c r="S38" s="12">
        <f t="shared" si="8"/>
        <v>25.570000000000164</v>
      </c>
      <c r="T38" s="13">
        <f t="shared" si="9"/>
        <v>0.013290918825076624</v>
      </c>
      <c r="U38" s="6">
        <f t="shared" si="16"/>
        <v>0.5</v>
      </c>
      <c r="W38" s="3">
        <f t="shared" si="10"/>
        <v>1</v>
      </c>
      <c r="X38" s="3">
        <f t="shared" si="11"/>
        <v>1</v>
      </c>
      <c r="Y38" s="10">
        <f t="shared" si="12"/>
        <v>1</v>
      </c>
      <c r="Z38" s="13">
        <f t="shared" si="13"/>
        <v>0.013290918825076624</v>
      </c>
    </row>
    <row r="39" spans="1:26" ht="14.25">
      <c r="A39" s="3">
        <f t="shared" si="19"/>
        <v>37</v>
      </c>
      <c r="B39" s="25">
        <f t="shared" si="20"/>
        <v>41799</v>
      </c>
      <c r="C39" s="5">
        <f>13/24</f>
        <v>0.5416666666666666</v>
      </c>
      <c r="D39" s="5">
        <f>11/24</f>
        <v>0.4583333333333333</v>
      </c>
      <c r="E39" s="6">
        <f t="shared" si="1"/>
        <v>0.08333333333333331</v>
      </c>
      <c r="F39" s="5">
        <v>0.629</v>
      </c>
      <c r="G39" s="5">
        <v>0.6920000000000001</v>
      </c>
      <c r="H39" s="5">
        <v>0.555</v>
      </c>
      <c r="I39" s="13">
        <f t="shared" si="2"/>
        <v>0.137</v>
      </c>
      <c r="J39" s="6">
        <f t="shared" si="24"/>
        <v>0</v>
      </c>
      <c r="L39" s="3">
        <f t="shared" si="4"/>
        <v>0</v>
      </c>
      <c r="M39" s="26">
        <f t="shared" si="25"/>
        <v>0</v>
      </c>
      <c r="N39" s="3">
        <f t="shared" si="26"/>
        <v>0</v>
      </c>
      <c r="O39" s="10">
        <f t="shared" si="7"/>
        <v>0</v>
      </c>
      <c r="P39" s="6">
        <f t="shared" si="14"/>
        <v>0.4411764705882353</v>
      </c>
      <c r="Q39" s="11">
        <v>1948.97</v>
      </c>
      <c r="R39" s="11">
        <v>1936.16</v>
      </c>
      <c r="S39" s="12">
        <f t="shared" si="8"/>
        <v>-12.809999999999945</v>
      </c>
      <c r="T39" s="13">
        <f t="shared" si="9"/>
        <v>-0.006572702504399732</v>
      </c>
      <c r="U39" s="6">
        <f t="shared" si="16"/>
        <v>0.5</v>
      </c>
      <c r="W39" s="3">
        <f t="shared" si="10"/>
        <v>0</v>
      </c>
      <c r="X39" s="3">
        <f t="shared" si="11"/>
        <v>1</v>
      </c>
      <c r="Y39" s="10">
        <f t="shared" si="12"/>
        <v>0</v>
      </c>
      <c r="Z39" s="13">
        <f t="shared" si="13"/>
        <v>0</v>
      </c>
    </row>
    <row r="40" spans="1:26" ht="14.25">
      <c r="A40" s="3">
        <f t="shared" si="19"/>
        <v>38</v>
      </c>
      <c r="B40" s="25">
        <f t="shared" si="20"/>
        <v>41806</v>
      </c>
      <c r="C40" s="5">
        <f>9/22</f>
        <v>0.4090909090909091</v>
      </c>
      <c r="D40" s="5">
        <f>13/22</f>
        <v>0.5909090909090909</v>
      </c>
      <c r="E40" s="6">
        <f t="shared" si="1"/>
        <v>-0.18181818181818182</v>
      </c>
      <c r="F40" s="5">
        <v>0.6</v>
      </c>
      <c r="G40" s="5">
        <v>0.7</v>
      </c>
      <c r="H40" s="5">
        <v>0.531</v>
      </c>
      <c r="I40" s="13">
        <f t="shared" si="2"/>
        <v>0.16899999999999993</v>
      </c>
      <c r="J40" s="6">
        <f t="shared" si="24"/>
        <v>0</v>
      </c>
      <c r="L40" s="3">
        <f t="shared" si="4"/>
        <v>0</v>
      </c>
      <c r="M40" s="26">
        <f t="shared" si="25"/>
        <v>0</v>
      </c>
      <c r="N40" s="3">
        <f t="shared" si="26"/>
        <v>0</v>
      </c>
      <c r="O40" s="10">
        <f t="shared" si="7"/>
        <v>1</v>
      </c>
      <c r="P40" s="6">
        <f t="shared" si="14"/>
        <v>0.42857142857142855</v>
      </c>
      <c r="Q40" s="11">
        <v>1934.84</v>
      </c>
      <c r="R40" s="11">
        <v>1962.87</v>
      </c>
      <c r="S40" s="12">
        <f t="shared" si="8"/>
        <v>28.029999999999973</v>
      </c>
      <c r="T40" s="13">
        <f t="shared" si="9"/>
        <v>0.014486986004010653</v>
      </c>
      <c r="U40" s="6">
        <f t="shared" si="16"/>
        <v>0.5</v>
      </c>
      <c r="W40" s="3">
        <f t="shared" si="10"/>
        <v>0</v>
      </c>
      <c r="X40" s="3">
        <f t="shared" si="11"/>
        <v>1</v>
      </c>
      <c r="Y40" s="10">
        <f t="shared" si="12"/>
        <v>0</v>
      </c>
      <c r="Z40" s="13">
        <f t="shared" si="13"/>
        <v>0</v>
      </c>
    </row>
    <row r="41" spans="1:26" ht="14.25">
      <c r="A41" s="3">
        <f t="shared" si="19"/>
        <v>39</v>
      </c>
      <c r="B41" s="25">
        <f t="shared" si="20"/>
        <v>41813</v>
      </c>
      <c r="C41" s="5">
        <f>20/35</f>
        <v>0.5714285714285714</v>
      </c>
      <c r="D41" s="5">
        <f>15/35</f>
        <v>0.42857142857142855</v>
      </c>
      <c r="E41" s="6">
        <f t="shared" si="1"/>
        <v>0.14285714285714285</v>
      </c>
      <c r="F41" s="5">
        <v>0.5710000000000001</v>
      </c>
      <c r="G41" s="5">
        <v>0.615</v>
      </c>
      <c r="H41" s="5">
        <v>0.513</v>
      </c>
      <c r="I41" s="13">
        <f t="shared" si="2"/>
        <v>0.10199999999999998</v>
      </c>
      <c r="J41" s="6">
        <f t="shared" si="24"/>
        <v>0</v>
      </c>
      <c r="L41" s="3">
        <f t="shared" si="4"/>
        <v>0</v>
      </c>
      <c r="M41" s="26">
        <f t="shared" si="25"/>
        <v>0</v>
      </c>
      <c r="N41" s="3">
        <f t="shared" si="26"/>
        <v>0</v>
      </c>
      <c r="O41" s="10">
        <f t="shared" si="7"/>
        <v>0</v>
      </c>
      <c r="P41" s="6">
        <f t="shared" si="14"/>
        <v>0.4166666666666667</v>
      </c>
      <c r="Q41" s="11">
        <v>1962.92</v>
      </c>
      <c r="R41" s="11">
        <v>1960.96</v>
      </c>
      <c r="S41" s="12">
        <f t="shared" si="8"/>
        <v>-1.9600000000000364</v>
      </c>
      <c r="T41" s="13">
        <f t="shared" si="9"/>
        <v>-0.0009985124202718583</v>
      </c>
      <c r="U41" s="6">
        <f t="shared" si="16"/>
        <v>0.4</v>
      </c>
      <c r="W41" s="3">
        <f t="shared" si="10"/>
        <v>1</v>
      </c>
      <c r="X41" s="3">
        <f t="shared" si="11"/>
        <v>1</v>
      </c>
      <c r="Y41" s="10">
        <f t="shared" si="12"/>
        <v>0</v>
      </c>
      <c r="Z41" s="13">
        <f t="shared" si="13"/>
        <v>-0.0009985124202718583</v>
      </c>
    </row>
    <row r="42" spans="1:26" ht="14.25">
      <c r="A42" s="3">
        <f t="shared" si="19"/>
        <v>40</v>
      </c>
      <c r="B42" s="25">
        <f t="shared" si="20"/>
        <v>41820</v>
      </c>
      <c r="C42" s="5">
        <f>34/48</f>
        <v>0.7083333333333334</v>
      </c>
      <c r="D42" s="5">
        <f>14/48</f>
        <v>0.2916666666666667</v>
      </c>
      <c r="E42" s="6">
        <f t="shared" si="1"/>
        <v>0.4166666666666667</v>
      </c>
      <c r="F42" s="5">
        <v>0.552</v>
      </c>
      <c r="G42" s="5">
        <v>0.615</v>
      </c>
      <c r="H42" s="5">
        <v>0.4</v>
      </c>
      <c r="I42" s="13">
        <f t="shared" si="2"/>
        <v>0.21499999999999997</v>
      </c>
      <c r="J42" s="6">
        <f t="shared" si="24"/>
        <v>0</v>
      </c>
      <c r="L42" s="3">
        <f t="shared" si="4"/>
        <v>0</v>
      </c>
      <c r="M42" s="26">
        <f t="shared" si="25"/>
        <v>0</v>
      </c>
      <c r="N42" s="3">
        <f t="shared" si="26"/>
        <v>1</v>
      </c>
      <c r="O42" s="10">
        <f t="shared" si="7"/>
        <v>1</v>
      </c>
      <c r="P42" s="6">
        <f t="shared" si="14"/>
        <v>0.43243243243243246</v>
      </c>
      <c r="Q42" s="11">
        <v>1960.79</v>
      </c>
      <c r="R42" s="11">
        <v>1985.44</v>
      </c>
      <c r="S42" s="12">
        <f t="shared" si="8"/>
        <v>24.65000000000009</v>
      </c>
      <c r="T42" s="13">
        <f t="shared" si="9"/>
        <v>0.012571463542755772</v>
      </c>
      <c r="U42" s="6">
        <f t="shared" si="16"/>
        <v>0.45454545454545453</v>
      </c>
      <c r="W42" s="3">
        <f t="shared" si="10"/>
        <v>1</v>
      </c>
      <c r="X42" s="3">
        <f t="shared" si="11"/>
        <v>1</v>
      </c>
      <c r="Y42" s="10">
        <f t="shared" si="12"/>
        <v>1</v>
      </c>
      <c r="Z42" s="13">
        <f t="shared" si="13"/>
        <v>0.012571463542755772</v>
      </c>
    </row>
    <row r="43" spans="1:26" ht="14.25">
      <c r="A43" s="3">
        <f t="shared" si="19"/>
        <v>41</v>
      </c>
      <c r="B43" s="25">
        <f t="shared" si="20"/>
        <v>41827</v>
      </c>
      <c r="C43" s="5">
        <f>81/116</f>
        <v>0.6982758620689655</v>
      </c>
      <c r="D43" s="5">
        <f>35/116</f>
        <v>0.3017241379310345</v>
      </c>
      <c r="E43" s="6">
        <f t="shared" si="1"/>
        <v>0.39655172413793105</v>
      </c>
      <c r="F43" s="5">
        <v>0.592</v>
      </c>
      <c r="G43" s="5">
        <v>0.582</v>
      </c>
      <c r="H43" s="5">
        <v>0.614</v>
      </c>
      <c r="I43" s="13">
        <f t="shared" si="2"/>
        <v>-0.03200000000000003</v>
      </c>
      <c r="J43" s="6">
        <f t="shared" si="24"/>
        <v>0</v>
      </c>
      <c r="L43" s="3">
        <f t="shared" si="4"/>
        <v>0</v>
      </c>
      <c r="M43" s="26">
        <f t="shared" si="25"/>
        <v>0</v>
      </c>
      <c r="N43" s="3">
        <f t="shared" si="26"/>
        <v>0</v>
      </c>
      <c r="O43" s="10">
        <f t="shared" si="7"/>
        <v>0</v>
      </c>
      <c r="P43" s="6">
        <f t="shared" si="14"/>
        <v>0.42105263157894735</v>
      </c>
      <c r="Q43" s="11">
        <v>1984.22</v>
      </c>
      <c r="R43" s="11">
        <v>1967.57</v>
      </c>
      <c r="S43" s="12">
        <f t="shared" si="8"/>
        <v>-16.65000000000009</v>
      </c>
      <c r="T43" s="13">
        <f t="shared" si="9"/>
        <v>-0.008391206620233689</v>
      </c>
      <c r="U43" s="6">
        <f t="shared" si="16"/>
        <v>0.45454545454545453</v>
      </c>
      <c r="W43" s="3">
        <f t="shared" si="10"/>
        <v>1</v>
      </c>
      <c r="X43" s="3">
        <f t="shared" si="11"/>
        <v>0</v>
      </c>
      <c r="Y43" s="10">
        <f t="shared" si="12"/>
        <v>0</v>
      </c>
      <c r="Z43" s="13">
        <f t="shared" si="13"/>
        <v>0</v>
      </c>
    </row>
    <row r="44" spans="1:26" ht="14.25">
      <c r="A44" s="3">
        <f t="shared" si="19"/>
        <v>42</v>
      </c>
      <c r="B44" s="25">
        <f t="shared" si="20"/>
        <v>41834</v>
      </c>
      <c r="C44" s="5">
        <v>0.564</v>
      </c>
      <c r="D44" s="5">
        <v>0.436</v>
      </c>
      <c r="E44" s="6">
        <f t="shared" si="1"/>
        <v>0.12799999999999995</v>
      </c>
      <c r="F44" s="5">
        <v>0.515</v>
      </c>
      <c r="G44" s="5">
        <v>0.542</v>
      </c>
      <c r="H44" s="5">
        <v>0.47900000000000004</v>
      </c>
      <c r="I44" s="13">
        <f t="shared" si="2"/>
        <v>0.063</v>
      </c>
      <c r="J44" s="6">
        <f t="shared" si="24"/>
        <v>0</v>
      </c>
      <c r="L44" s="3">
        <f t="shared" si="4"/>
        <v>0</v>
      </c>
      <c r="M44" s="26">
        <f t="shared" si="25"/>
        <v>0</v>
      </c>
      <c r="N44" s="3">
        <f t="shared" si="26"/>
        <v>1</v>
      </c>
      <c r="O44" s="10">
        <f t="shared" si="7"/>
        <v>1</v>
      </c>
      <c r="P44" s="6">
        <f t="shared" si="14"/>
        <v>0.4358974358974359</v>
      </c>
      <c r="Q44" s="11">
        <v>1969.86</v>
      </c>
      <c r="R44" s="11">
        <v>1978.22</v>
      </c>
      <c r="S44" s="12">
        <f t="shared" si="8"/>
        <v>8.360000000000127</v>
      </c>
      <c r="T44" s="13">
        <f t="shared" si="9"/>
        <v>0.004243956423299182</v>
      </c>
      <c r="U44" s="6">
        <f t="shared" si="16"/>
        <v>0.45454545454545453</v>
      </c>
      <c r="W44" s="3">
        <f t="shared" si="10"/>
        <v>1</v>
      </c>
      <c r="X44" s="3">
        <f t="shared" si="11"/>
        <v>1</v>
      </c>
      <c r="Y44" s="10">
        <f t="shared" si="12"/>
        <v>1</v>
      </c>
      <c r="Z44" s="13">
        <f t="shared" si="13"/>
        <v>0.004243956423299182</v>
      </c>
    </row>
    <row r="45" spans="1:26" ht="14.25">
      <c r="A45" s="3">
        <f t="shared" si="19"/>
        <v>43</v>
      </c>
      <c r="B45" s="25">
        <f t="shared" si="20"/>
        <v>41841</v>
      </c>
      <c r="C45" s="5">
        <v>0.488</v>
      </c>
      <c r="D45" s="5">
        <v>0.512</v>
      </c>
      <c r="E45" s="6">
        <f t="shared" si="1"/>
        <v>-0.02400000000000002</v>
      </c>
      <c r="F45" s="5">
        <v>0.605</v>
      </c>
      <c r="G45" s="5">
        <v>0.59</v>
      </c>
      <c r="H45" s="5">
        <v>0.619</v>
      </c>
      <c r="I45" s="13">
        <f t="shared" si="2"/>
        <v>-0.029000000000000026</v>
      </c>
      <c r="J45" s="6">
        <f t="shared" si="24"/>
        <v>0</v>
      </c>
      <c r="L45" s="3">
        <f t="shared" si="4"/>
        <v>0</v>
      </c>
      <c r="M45" s="26">
        <f t="shared" si="25"/>
        <v>0</v>
      </c>
      <c r="N45" s="3">
        <f t="shared" si="26"/>
        <v>0</v>
      </c>
      <c r="O45" s="10">
        <f t="shared" si="7"/>
        <v>1</v>
      </c>
      <c r="P45" s="6">
        <f t="shared" si="14"/>
        <v>0.425</v>
      </c>
      <c r="Q45" s="11">
        <v>1976.93</v>
      </c>
      <c r="R45" s="11">
        <v>1978.34</v>
      </c>
      <c r="S45" s="12">
        <f t="shared" si="8"/>
        <v>1.4099999999998545</v>
      </c>
      <c r="T45" s="13">
        <f t="shared" si="9"/>
        <v>0.0007132270743020008</v>
      </c>
      <c r="U45" s="6">
        <f t="shared" si="16"/>
        <v>0.45454545454545453</v>
      </c>
      <c r="W45" s="3">
        <f t="shared" si="10"/>
        <v>0</v>
      </c>
      <c r="X45" s="3">
        <f t="shared" si="11"/>
        <v>0</v>
      </c>
      <c r="Y45" s="10">
        <f t="shared" si="12"/>
        <v>0</v>
      </c>
      <c r="Z45" s="13">
        <f t="shared" si="13"/>
        <v>0</v>
      </c>
    </row>
    <row r="46" spans="1:26" ht="14.25">
      <c r="A46" s="3">
        <f t="shared" si="19"/>
        <v>44</v>
      </c>
      <c r="B46" s="25">
        <f t="shared" si="20"/>
        <v>41848</v>
      </c>
      <c r="C46" s="5">
        <v>0.46</v>
      </c>
      <c r="D46" s="5">
        <v>0.54</v>
      </c>
      <c r="E46" s="6">
        <f t="shared" si="1"/>
        <v>-0.08000000000000002</v>
      </c>
      <c r="F46" s="5">
        <v>0.553</v>
      </c>
      <c r="G46" s="5">
        <v>0.605</v>
      </c>
      <c r="H46" s="5">
        <v>0.511</v>
      </c>
      <c r="I46" s="13">
        <f t="shared" si="2"/>
        <v>0.09399999999999997</v>
      </c>
      <c r="J46" s="6">
        <f t="shared" si="24"/>
        <v>0</v>
      </c>
      <c r="L46" s="3">
        <f t="shared" si="4"/>
        <v>0</v>
      </c>
      <c r="M46" s="26">
        <f t="shared" si="25"/>
        <v>0</v>
      </c>
      <c r="N46" s="3">
        <f t="shared" si="26"/>
        <v>1</v>
      </c>
      <c r="O46" s="10">
        <f t="shared" si="7"/>
        <v>0</v>
      </c>
      <c r="P46" s="6">
        <f t="shared" si="14"/>
        <v>0.43902439024390244</v>
      </c>
      <c r="Q46" s="11">
        <v>1978.25</v>
      </c>
      <c r="R46" s="11">
        <v>1925.15</v>
      </c>
      <c r="S46" s="12">
        <f t="shared" si="8"/>
        <v>-53.09999999999991</v>
      </c>
      <c r="T46" s="13">
        <f t="shared" si="9"/>
        <v>-0.026841905724756684</v>
      </c>
      <c r="U46" s="6">
        <f t="shared" si="16"/>
        <v>0.45454545454545453</v>
      </c>
      <c r="W46" s="3">
        <f t="shared" si="10"/>
        <v>0</v>
      </c>
      <c r="X46" s="3">
        <f t="shared" si="11"/>
        <v>1</v>
      </c>
      <c r="Y46" s="10">
        <f t="shared" si="12"/>
        <v>0</v>
      </c>
      <c r="Z46" s="13">
        <f t="shared" si="13"/>
        <v>0</v>
      </c>
    </row>
    <row r="47" spans="1:26" ht="14.25">
      <c r="A47" s="3">
        <f t="shared" si="19"/>
        <v>45</v>
      </c>
      <c r="B47" s="25">
        <f t="shared" si="20"/>
        <v>41855</v>
      </c>
      <c r="C47" s="5">
        <v>0.42100000000000004</v>
      </c>
      <c r="D47" s="5">
        <v>0.579</v>
      </c>
      <c r="E47" s="6">
        <f t="shared" si="1"/>
        <v>-0.15799999999999992</v>
      </c>
      <c r="F47" s="5">
        <v>0.555</v>
      </c>
      <c r="G47" s="5">
        <v>0.613</v>
      </c>
      <c r="H47" s="5">
        <v>0.514</v>
      </c>
      <c r="I47" s="13">
        <f t="shared" si="2"/>
        <v>0.09899999999999998</v>
      </c>
      <c r="J47" s="6">
        <f t="shared" si="24"/>
        <v>0</v>
      </c>
      <c r="L47" s="3">
        <f t="shared" si="4"/>
        <v>0</v>
      </c>
      <c r="M47" s="26">
        <f t="shared" si="25"/>
        <v>0</v>
      </c>
      <c r="N47" s="3">
        <f t="shared" si="26"/>
        <v>0</v>
      </c>
      <c r="O47" s="10">
        <f t="shared" si="7"/>
        <v>1</v>
      </c>
      <c r="P47" s="6">
        <f t="shared" si="14"/>
        <v>0.42857142857142855</v>
      </c>
      <c r="Q47" s="11">
        <v>1926.62</v>
      </c>
      <c r="R47" s="11">
        <v>1931.59</v>
      </c>
      <c r="S47" s="12">
        <f t="shared" si="8"/>
        <v>4.970000000000027</v>
      </c>
      <c r="T47" s="13">
        <f t="shared" si="9"/>
        <v>0.002579647257892074</v>
      </c>
      <c r="U47" s="6">
        <f t="shared" si="16"/>
        <v>0.45454545454545453</v>
      </c>
      <c r="W47" s="3">
        <f t="shared" si="10"/>
        <v>0</v>
      </c>
      <c r="X47" s="3">
        <f t="shared" si="11"/>
        <v>1</v>
      </c>
      <c r="Y47" s="10">
        <f t="shared" si="12"/>
        <v>0</v>
      </c>
      <c r="Z47" s="13">
        <f t="shared" si="13"/>
        <v>0</v>
      </c>
    </row>
    <row r="48" spans="1:26" ht="14.25">
      <c r="A48" s="3">
        <f t="shared" si="19"/>
        <v>46</v>
      </c>
      <c r="B48" s="25">
        <f t="shared" si="20"/>
        <v>41862</v>
      </c>
      <c r="C48" s="5">
        <f>28/52</f>
        <v>0.5384615384615384</v>
      </c>
      <c r="D48" s="5">
        <f aca="true" t="shared" si="27" ref="D48:D167">1-C48</f>
        <v>0.46153846153846156</v>
      </c>
      <c r="E48" s="6">
        <f t="shared" si="1"/>
        <v>0.07692307692307687</v>
      </c>
      <c r="F48" s="5">
        <v>0.602</v>
      </c>
      <c r="G48" s="5">
        <v>0.604</v>
      </c>
      <c r="H48" s="5">
        <v>0.6</v>
      </c>
      <c r="I48" s="13">
        <f t="shared" si="2"/>
        <v>0.0040000000000000036</v>
      </c>
      <c r="J48" s="6">
        <f t="shared" si="24"/>
        <v>0</v>
      </c>
      <c r="L48" s="3">
        <f t="shared" si="4"/>
        <v>0</v>
      </c>
      <c r="M48" s="26">
        <f t="shared" si="25"/>
        <v>0</v>
      </c>
      <c r="N48" s="3">
        <f t="shared" si="26"/>
        <v>1</v>
      </c>
      <c r="O48" s="10">
        <f t="shared" si="7"/>
        <v>1</v>
      </c>
      <c r="P48" s="6">
        <f t="shared" si="14"/>
        <v>0.4418604651162791</v>
      </c>
      <c r="Q48" s="11">
        <v>1933.43</v>
      </c>
      <c r="R48" s="11">
        <v>1955.06</v>
      </c>
      <c r="S48" s="12">
        <f t="shared" si="8"/>
        <v>21.62999999999988</v>
      </c>
      <c r="T48" s="13">
        <f t="shared" si="9"/>
        <v>0.011187371665899401</v>
      </c>
      <c r="U48" s="6">
        <f t="shared" si="16"/>
        <v>0.45454545454545453</v>
      </c>
      <c r="W48" s="3">
        <f t="shared" si="10"/>
        <v>0</v>
      </c>
      <c r="X48" s="3">
        <f t="shared" si="11"/>
        <v>1</v>
      </c>
      <c r="Y48" s="10">
        <f t="shared" si="12"/>
        <v>0</v>
      </c>
      <c r="Z48" s="13">
        <f t="shared" si="13"/>
        <v>0</v>
      </c>
    </row>
    <row r="49" spans="1:26" ht="14.25">
      <c r="A49" s="3">
        <f t="shared" si="19"/>
        <v>47</v>
      </c>
      <c r="B49" s="25">
        <f t="shared" si="20"/>
        <v>41869</v>
      </c>
      <c r="C49" s="5">
        <f>34/59</f>
        <v>0.576271186440678</v>
      </c>
      <c r="D49" s="5">
        <f t="shared" si="27"/>
        <v>0.423728813559322</v>
      </c>
      <c r="E49" s="6">
        <f t="shared" si="1"/>
        <v>0.15254237288135597</v>
      </c>
      <c r="F49" s="5">
        <v>0.5710000000000001</v>
      </c>
      <c r="G49" s="5">
        <v>0.621</v>
      </c>
      <c r="H49" s="5">
        <v>0.504</v>
      </c>
      <c r="I49" s="13">
        <f t="shared" si="2"/>
        <v>0.11699999999999999</v>
      </c>
      <c r="J49" s="6">
        <f t="shared" si="24"/>
        <v>0</v>
      </c>
      <c r="L49" s="3">
        <f t="shared" si="4"/>
        <v>0</v>
      </c>
      <c r="M49" s="26">
        <f t="shared" si="25"/>
        <v>0</v>
      </c>
      <c r="N49" s="3">
        <f t="shared" si="26"/>
        <v>1</v>
      </c>
      <c r="O49" s="10">
        <f t="shared" si="7"/>
        <v>1</v>
      </c>
      <c r="P49" s="6">
        <f t="shared" si="14"/>
        <v>0.45454545454545453</v>
      </c>
      <c r="Q49" s="11">
        <v>1958.36</v>
      </c>
      <c r="R49" s="11">
        <v>1988.4</v>
      </c>
      <c r="S49" s="12">
        <f t="shared" si="8"/>
        <v>30.04000000000019</v>
      </c>
      <c r="T49" s="13">
        <f t="shared" si="9"/>
        <v>0.015339365591617575</v>
      </c>
      <c r="U49" s="6">
        <f t="shared" si="16"/>
        <v>0.45454545454545453</v>
      </c>
      <c r="W49" s="3">
        <f t="shared" si="10"/>
        <v>1</v>
      </c>
      <c r="X49" s="3">
        <f t="shared" si="11"/>
        <v>1</v>
      </c>
      <c r="Y49" s="10">
        <f t="shared" si="12"/>
        <v>1</v>
      </c>
      <c r="Z49" s="13">
        <f t="shared" si="13"/>
        <v>0.015339365591617575</v>
      </c>
    </row>
    <row r="50" spans="1:26" ht="14.25">
      <c r="A50" s="3">
        <f t="shared" si="19"/>
        <v>48</v>
      </c>
      <c r="B50" s="25">
        <f t="shared" si="20"/>
        <v>41876</v>
      </c>
      <c r="C50" s="5">
        <f>32/60</f>
        <v>0.5333333333333333</v>
      </c>
      <c r="D50" s="5">
        <f t="shared" si="27"/>
        <v>0.4666666666666667</v>
      </c>
      <c r="E50" s="6">
        <f t="shared" si="1"/>
        <v>0.06666666666666665</v>
      </c>
      <c r="F50" s="5">
        <v>0.558</v>
      </c>
      <c r="G50" s="5">
        <v>0.559</v>
      </c>
      <c r="H50" s="5">
        <v>0.557</v>
      </c>
      <c r="I50" s="13">
        <f t="shared" si="2"/>
        <v>0.0020000000000000018</v>
      </c>
      <c r="J50" s="6">
        <f t="shared" si="24"/>
        <v>0</v>
      </c>
      <c r="L50" s="3">
        <f t="shared" si="4"/>
        <v>0</v>
      </c>
      <c r="M50" s="26">
        <f t="shared" si="25"/>
        <v>0</v>
      </c>
      <c r="N50" s="3">
        <f t="shared" si="26"/>
        <v>1</v>
      </c>
      <c r="O50" s="10">
        <f t="shared" si="7"/>
        <v>1</v>
      </c>
      <c r="P50" s="6">
        <f t="shared" si="14"/>
        <v>0.4666666666666667</v>
      </c>
      <c r="Q50" s="11">
        <v>1991.74</v>
      </c>
      <c r="R50" s="11">
        <v>2003.37</v>
      </c>
      <c r="S50" s="12">
        <f t="shared" si="8"/>
        <v>11.629999999999882</v>
      </c>
      <c r="T50" s="13">
        <f t="shared" si="9"/>
        <v>0.005839115547209918</v>
      </c>
      <c r="U50" s="6">
        <f t="shared" si="16"/>
        <v>0.5454545454545454</v>
      </c>
      <c r="W50" s="3">
        <f t="shared" si="10"/>
        <v>0</v>
      </c>
      <c r="X50" s="3">
        <f t="shared" si="11"/>
        <v>1</v>
      </c>
      <c r="Y50" s="10">
        <f t="shared" si="12"/>
        <v>0</v>
      </c>
      <c r="Z50" s="13">
        <f t="shared" si="13"/>
        <v>0</v>
      </c>
    </row>
    <row r="51" spans="1:26" ht="14.25">
      <c r="A51" s="3">
        <f t="shared" si="19"/>
        <v>49</v>
      </c>
      <c r="B51" s="25">
        <f t="shared" si="20"/>
        <v>41883</v>
      </c>
      <c r="C51" s="5">
        <f>47/97</f>
        <v>0.4845360824742268</v>
      </c>
      <c r="D51" s="5">
        <f t="shared" si="27"/>
        <v>0.5154639175257731</v>
      </c>
      <c r="E51" s="6">
        <f t="shared" si="1"/>
        <v>-0.030927835051546337</v>
      </c>
      <c r="F51" s="5">
        <v>0.614</v>
      </c>
      <c r="G51" s="5">
        <v>0.706</v>
      </c>
      <c r="H51" s="5">
        <v>0.528</v>
      </c>
      <c r="I51" s="13">
        <f t="shared" si="2"/>
        <v>0.17799999999999994</v>
      </c>
      <c r="J51" s="6">
        <f t="shared" si="24"/>
        <v>0</v>
      </c>
      <c r="L51" s="3">
        <f t="shared" si="4"/>
        <v>0</v>
      </c>
      <c r="M51" s="26">
        <f t="shared" si="25"/>
        <v>0</v>
      </c>
      <c r="N51" s="3">
        <f t="shared" si="26"/>
        <v>0</v>
      </c>
      <c r="O51" s="10">
        <f t="shared" si="7"/>
        <v>1</v>
      </c>
      <c r="P51" s="6">
        <f t="shared" si="14"/>
        <v>0.45652173913043476</v>
      </c>
      <c r="Q51" s="11">
        <v>2004.07</v>
      </c>
      <c r="R51" s="11">
        <v>2007.71</v>
      </c>
      <c r="S51" s="12">
        <f t="shared" si="8"/>
        <v>3.6400000000001</v>
      </c>
      <c r="T51" s="13">
        <f t="shared" si="9"/>
        <v>0.001816303821722844</v>
      </c>
      <c r="U51" s="6">
        <f t="shared" si="16"/>
        <v>0.5454545454545454</v>
      </c>
      <c r="W51" s="3">
        <f t="shared" si="10"/>
        <v>0</v>
      </c>
      <c r="X51" s="3">
        <f t="shared" si="11"/>
        <v>1</v>
      </c>
      <c r="Y51" s="10">
        <f t="shared" si="12"/>
        <v>0</v>
      </c>
      <c r="Z51" s="13">
        <f t="shared" si="13"/>
        <v>0</v>
      </c>
    </row>
    <row r="52" spans="1:26" ht="14.25">
      <c r="A52" s="3">
        <f t="shared" si="19"/>
        <v>50</v>
      </c>
      <c r="B52" s="25">
        <f t="shared" si="20"/>
        <v>41890</v>
      </c>
      <c r="C52" s="5">
        <f>34/65</f>
        <v>0.5230769230769231</v>
      </c>
      <c r="D52" s="5">
        <f t="shared" si="27"/>
        <v>0.4769230769230769</v>
      </c>
      <c r="E52" s="6">
        <f t="shared" si="1"/>
        <v>0.04615384615384621</v>
      </c>
      <c r="F52" s="5">
        <v>0.577</v>
      </c>
      <c r="G52" s="5">
        <v>0.588</v>
      </c>
      <c r="H52" s="5">
        <v>0.5650000000000001</v>
      </c>
      <c r="I52" s="13">
        <f t="shared" si="2"/>
        <v>0.02299999999999991</v>
      </c>
      <c r="J52" s="6">
        <f t="shared" si="24"/>
        <v>0</v>
      </c>
      <c r="L52" s="3">
        <f t="shared" si="4"/>
        <v>0</v>
      </c>
      <c r="M52" s="26">
        <f t="shared" si="25"/>
        <v>0</v>
      </c>
      <c r="N52" s="3">
        <f t="shared" si="26"/>
        <v>0</v>
      </c>
      <c r="O52" s="10">
        <f t="shared" si="7"/>
        <v>0</v>
      </c>
      <c r="P52" s="6">
        <f t="shared" si="14"/>
        <v>0.44680851063829785</v>
      </c>
      <c r="Q52" s="11">
        <v>2007.17</v>
      </c>
      <c r="R52" s="11">
        <v>1985.54</v>
      </c>
      <c r="S52" s="12">
        <f t="shared" si="8"/>
        <v>-21.63000000000011</v>
      </c>
      <c r="T52" s="13">
        <f t="shared" si="9"/>
        <v>-0.01077636672528989</v>
      </c>
      <c r="U52" s="6">
        <f t="shared" si="16"/>
        <v>0.5454545454545454</v>
      </c>
      <c r="W52" s="3">
        <f t="shared" si="10"/>
        <v>0</v>
      </c>
      <c r="X52" s="3">
        <f t="shared" si="11"/>
        <v>1</v>
      </c>
      <c r="Y52" s="10">
        <f t="shared" si="12"/>
        <v>0</v>
      </c>
      <c r="Z52" s="13">
        <f t="shared" si="13"/>
        <v>0</v>
      </c>
    </row>
    <row r="53" spans="1:26" ht="14.25">
      <c r="A53" s="3">
        <f t="shared" si="19"/>
        <v>51</v>
      </c>
      <c r="B53" s="25">
        <f t="shared" si="20"/>
        <v>41897</v>
      </c>
      <c r="C53" s="5">
        <f>26/67</f>
        <v>0.3880597014925373</v>
      </c>
      <c r="D53" s="5">
        <f t="shared" si="27"/>
        <v>0.6119402985074627</v>
      </c>
      <c r="E53" s="6">
        <f t="shared" si="1"/>
        <v>-0.22388059701492535</v>
      </c>
      <c r="F53" s="5">
        <v>0.602</v>
      </c>
      <c r="G53" s="5">
        <v>0.615</v>
      </c>
      <c r="H53" s="5">
        <v>0.593</v>
      </c>
      <c r="I53" s="13">
        <f t="shared" si="2"/>
        <v>0.02200000000000002</v>
      </c>
      <c r="J53" s="6">
        <f t="shared" si="24"/>
        <v>0</v>
      </c>
      <c r="L53" s="3">
        <f t="shared" si="4"/>
        <v>0</v>
      </c>
      <c r="M53" s="26">
        <f t="shared" si="25"/>
        <v>0</v>
      </c>
      <c r="N53" s="3">
        <f t="shared" si="26"/>
        <v>0</v>
      </c>
      <c r="O53" s="10">
        <f t="shared" si="7"/>
        <v>1</v>
      </c>
      <c r="P53" s="6">
        <f t="shared" si="14"/>
        <v>0.4375</v>
      </c>
      <c r="Q53" s="11">
        <v>1986.04</v>
      </c>
      <c r="R53" s="11">
        <v>2010.4</v>
      </c>
      <c r="S53" s="12">
        <f t="shared" si="8"/>
        <v>24.360000000000127</v>
      </c>
      <c r="T53" s="13">
        <f t="shared" si="9"/>
        <v>0.01226561398561969</v>
      </c>
      <c r="U53" s="6">
        <f t="shared" si="16"/>
        <v>0.45454545454545453</v>
      </c>
      <c r="W53" s="3">
        <f t="shared" si="10"/>
        <v>0</v>
      </c>
      <c r="X53" s="3">
        <f t="shared" si="11"/>
        <v>1</v>
      </c>
      <c r="Y53" s="10">
        <f t="shared" si="12"/>
        <v>0</v>
      </c>
      <c r="Z53" s="13">
        <f t="shared" si="13"/>
        <v>0</v>
      </c>
    </row>
    <row r="54" spans="1:26" ht="14.25">
      <c r="A54" s="3">
        <f t="shared" si="19"/>
        <v>52</v>
      </c>
      <c r="B54" s="25">
        <f t="shared" si="20"/>
        <v>41904</v>
      </c>
      <c r="C54" s="5">
        <f>38/67</f>
        <v>0.5671641791044776</v>
      </c>
      <c r="D54" s="5">
        <f t="shared" si="27"/>
        <v>0.4328358208955224</v>
      </c>
      <c r="E54" s="6">
        <f t="shared" si="1"/>
        <v>0.13432835820895517</v>
      </c>
      <c r="F54" s="5">
        <v>0.63</v>
      </c>
      <c r="G54" s="5">
        <v>0.605</v>
      </c>
      <c r="H54" s="5">
        <v>0.662</v>
      </c>
      <c r="I54" s="13">
        <f t="shared" si="2"/>
        <v>-0.05700000000000005</v>
      </c>
      <c r="J54" s="6">
        <f t="shared" si="24"/>
        <v>0</v>
      </c>
      <c r="L54" s="3">
        <f t="shared" si="4"/>
        <v>0</v>
      </c>
      <c r="M54" s="26">
        <f t="shared" si="25"/>
        <v>0</v>
      </c>
      <c r="N54" s="3">
        <f t="shared" si="26"/>
        <v>0</v>
      </c>
      <c r="O54" s="10">
        <f t="shared" si="7"/>
        <v>0</v>
      </c>
      <c r="P54" s="6">
        <f t="shared" si="14"/>
        <v>0.42857142857142855</v>
      </c>
      <c r="Q54" s="11">
        <v>2009.08</v>
      </c>
      <c r="R54" s="11">
        <v>1982.85</v>
      </c>
      <c r="S54" s="12">
        <f t="shared" si="8"/>
        <v>-26.230000000000018</v>
      </c>
      <c r="T54" s="13">
        <f t="shared" si="9"/>
        <v>-0.013055726999422632</v>
      </c>
      <c r="U54" s="6">
        <f t="shared" si="16"/>
        <v>0.45454545454545453</v>
      </c>
      <c r="V54" s="6">
        <f aca="true" t="shared" si="28" ref="V54:V166">AVERAGE(N4:N54)</f>
        <v>0.42857142857142855</v>
      </c>
      <c r="W54" s="3">
        <f t="shared" si="10"/>
        <v>1</v>
      </c>
      <c r="X54" s="3">
        <f t="shared" si="11"/>
        <v>0</v>
      </c>
      <c r="Y54" s="10">
        <f t="shared" si="12"/>
        <v>0</v>
      </c>
      <c r="Z54" s="13">
        <f t="shared" si="13"/>
        <v>0</v>
      </c>
    </row>
    <row r="55" spans="1:26" ht="14.25">
      <c r="A55" s="3">
        <f t="shared" si="19"/>
        <v>53</v>
      </c>
      <c r="B55" s="25">
        <f t="shared" si="20"/>
        <v>41911</v>
      </c>
      <c r="C55" s="5">
        <f>39/85</f>
        <v>0.4588235294117647</v>
      </c>
      <c r="D55" s="5">
        <f t="shared" si="27"/>
        <v>0.5411764705882354</v>
      </c>
      <c r="E55" s="6">
        <f t="shared" si="1"/>
        <v>-0.08235294117647068</v>
      </c>
      <c r="F55" s="5">
        <v>0.638</v>
      </c>
      <c r="G55" s="5">
        <v>0.633</v>
      </c>
      <c r="H55" s="5">
        <v>0.642</v>
      </c>
      <c r="I55" s="13">
        <f t="shared" si="2"/>
        <v>-0.009000000000000008</v>
      </c>
      <c r="J55" s="6">
        <f t="shared" si="24"/>
        <v>0</v>
      </c>
      <c r="L55" s="3">
        <f t="shared" si="4"/>
        <v>0</v>
      </c>
      <c r="M55" s="26">
        <f t="shared" si="25"/>
        <v>0</v>
      </c>
      <c r="N55" s="3">
        <f t="shared" si="26"/>
        <v>1</v>
      </c>
      <c r="O55" s="10">
        <f t="shared" si="7"/>
        <v>0</v>
      </c>
      <c r="P55" s="6">
        <f t="shared" si="14"/>
        <v>0.44</v>
      </c>
      <c r="Q55" s="11">
        <v>1978.96</v>
      </c>
      <c r="R55" s="11">
        <v>1967.9</v>
      </c>
      <c r="S55" s="12">
        <f t="shared" si="8"/>
        <v>-11.059999999999945</v>
      </c>
      <c r="T55" s="13">
        <f t="shared" si="9"/>
        <v>-0.005588794114080095</v>
      </c>
      <c r="U55" s="6">
        <f t="shared" si="16"/>
        <v>0.45454545454545453</v>
      </c>
      <c r="V55" s="6">
        <f t="shared" si="28"/>
        <v>0.4489795918367347</v>
      </c>
      <c r="W55" s="3">
        <f t="shared" si="10"/>
        <v>0</v>
      </c>
      <c r="X55" s="3">
        <f t="shared" si="11"/>
        <v>0</v>
      </c>
      <c r="Y55" s="10">
        <f t="shared" si="12"/>
        <v>0</v>
      </c>
      <c r="Z55" s="13">
        <f t="shared" si="13"/>
        <v>0</v>
      </c>
    </row>
    <row r="56" spans="1:26" ht="14.25">
      <c r="A56" s="3">
        <f t="shared" si="19"/>
        <v>54</v>
      </c>
      <c r="B56" s="25">
        <f t="shared" si="20"/>
        <v>41918</v>
      </c>
      <c r="C56" s="5">
        <f>36/62</f>
        <v>0.5806451612903226</v>
      </c>
      <c r="D56" s="5">
        <f t="shared" si="27"/>
        <v>0.4193548387096774</v>
      </c>
      <c r="E56" s="6">
        <f t="shared" si="1"/>
        <v>0.16129032258064524</v>
      </c>
      <c r="F56" s="5">
        <v>0.64</v>
      </c>
      <c r="G56" s="5">
        <v>0.622</v>
      </c>
      <c r="H56" s="5">
        <v>0.665</v>
      </c>
      <c r="I56" s="13">
        <f t="shared" si="2"/>
        <v>-0.04300000000000004</v>
      </c>
      <c r="J56" s="6">
        <f t="shared" si="24"/>
        <v>0</v>
      </c>
      <c r="L56" s="3">
        <f t="shared" si="4"/>
        <v>0</v>
      </c>
      <c r="M56" s="26">
        <f t="shared" si="25"/>
        <v>0</v>
      </c>
      <c r="N56" s="3">
        <f t="shared" si="26"/>
        <v>0</v>
      </c>
      <c r="O56" s="10">
        <f t="shared" si="7"/>
        <v>0</v>
      </c>
      <c r="P56" s="6">
        <f t="shared" si="14"/>
        <v>0.43137254901960786</v>
      </c>
      <c r="Q56" s="11">
        <v>1970.01</v>
      </c>
      <c r="R56" s="11">
        <v>1906.13</v>
      </c>
      <c r="S56" s="12">
        <f t="shared" si="8"/>
        <v>-63.87999999999988</v>
      </c>
      <c r="T56" s="13">
        <f t="shared" si="9"/>
        <v>-0.03242623133892716</v>
      </c>
      <c r="U56" s="6">
        <f t="shared" si="16"/>
        <v>0.45454545454545453</v>
      </c>
      <c r="V56" s="6">
        <f t="shared" si="28"/>
        <v>0.42857142857142855</v>
      </c>
      <c r="W56" s="3">
        <f t="shared" si="10"/>
        <v>1</v>
      </c>
      <c r="X56" s="3">
        <f t="shared" si="11"/>
        <v>0</v>
      </c>
      <c r="Y56" s="10">
        <f t="shared" si="12"/>
        <v>0</v>
      </c>
      <c r="Z56" s="13">
        <f t="shared" si="13"/>
        <v>0</v>
      </c>
    </row>
    <row r="57" spans="1:26" ht="14.25">
      <c r="A57" s="3">
        <f t="shared" si="19"/>
        <v>55</v>
      </c>
      <c r="B57" s="25">
        <f t="shared" si="20"/>
        <v>41925</v>
      </c>
      <c r="C57" s="5">
        <f>31/61</f>
        <v>0.5081967213114754</v>
      </c>
      <c r="D57" s="5">
        <f t="shared" si="27"/>
        <v>0.4918032786885246</v>
      </c>
      <c r="E57" s="6">
        <f t="shared" si="1"/>
        <v>0.016393442622950838</v>
      </c>
      <c r="F57" s="5">
        <v>0.649</v>
      </c>
      <c r="G57" s="5">
        <v>0.613</v>
      </c>
      <c r="H57" s="5">
        <v>0.687</v>
      </c>
      <c r="I57" s="13">
        <f t="shared" si="2"/>
        <v>-0.07400000000000007</v>
      </c>
      <c r="J57" s="6">
        <f t="shared" si="24"/>
        <v>0</v>
      </c>
      <c r="L57" s="3">
        <f t="shared" si="4"/>
        <v>0</v>
      </c>
      <c r="M57" s="26">
        <f t="shared" si="25"/>
        <v>0</v>
      </c>
      <c r="N57" s="3">
        <f t="shared" si="26"/>
        <v>0</v>
      </c>
      <c r="O57" s="10">
        <f t="shared" si="7"/>
        <v>0</v>
      </c>
      <c r="P57" s="6">
        <f t="shared" si="14"/>
        <v>0.4230769230769231</v>
      </c>
      <c r="Q57" s="11">
        <v>1905.65</v>
      </c>
      <c r="R57" s="11">
        <v>1886.76</v>
      </c>
      <c r="S57" s="12">
        <f t="shared" si="8"/>
        <v>-18.8900000000001</v>
      </c>
      <c r="T57" s="13">
        <f t="shared" si="9"/>
        <v>-0.009912628237084511</v>
      </c>
      <c r="U57" s="6">
        <f t="shared" si="16"/>
        <v>0.36363636363636365</v>
      </c>
      <c r="V57" s="6">
        <f t="shared" si="28"/>
        <v>0.40816326530612246</v>
      </c>
      <c r="W57" s="3">
        <f t="shared" si="10"/>
        <v>0</v>
      </c>
      <c r="X57" s="3">
        <f t="shared" si="11"/>
        <v>0</v>
      </c>
      <c r="Y57" s="10">
        <f t="shared" si="12"/>
        <v>0</v>
      </c>
      <c r="Z57" s="13">
        <f t="shared" si="13"/>
        <v>0</v>
      </c>
    </row>
    <row r="58" spans="1:26" ht="14.25">
      <c r="A58" s="3">
        <f t="shared" si="19"/>
        <v>56</v>
      </c>
      <c r="B58" s="25">
        <f t="shared" si="20"/>
        <v>41932</v>
      </c>
      <c r="C58" s="5">
        <f>35/57</f>
        <v>0.6140350877192983</v>
      </c>
      <c r="D58" s="5">
        <f t="shared" si="27"/>
        <v>0.38596491228070173</v>
      </c>
      <c r="E58" s="6">
        <f t="shared" si="1"/>
        <v>0.22807017543859653</v>
      </c>
      <c r="F58" s="5">
        <v>0.581</v>
      </c>
      <c r="G58" s="5">
        <v>0.589</v>
      </c>
      <c r="H58" s="5">
        <v>0.5680000000000001</v>
      </c>
      <c r="I58" s="13">
        <f t="shared" si="2"/>
        <v>0.020999999999999908</v>
      </c>
      <c r="J58" s="6">
        <f t="shared" si="24"/>
        <v>0</v>
      </c>
      <c r="L58" s="3">
        <f t="shared" si="4"/>
        <v>0</v>
      </c>
      <c r="M58" s="26">
        <f t="shared" si="25"/>
        <v>0</v>
      </c>
      <c r="N58" s="3">
        <f t="shared" si="26"/>
        <v>1</v>
      </c>
      <c r="O58" s="10">
        <f t="shared" si="7"/>
        <v>1</v>
      </c>
      <c r="P58" s="6">
        <f t="shared" si="14"/>
        <v>0.4339622641509434</v>
      </c>
      <c r="Q58" s="11">
        <v>1885.62</v>
      </c>
      <c r="R58" s="11">
        <v>1964.58</v>
      </c>
      <c r="S58" s="12">
        <f t="shared" si="8"/>
        <v>78.96000000000004</v>
      </c>
      <c r="T58" s="13">
        <f t="shared" si="9"/>
        <v>0.041874821013777985</v>
      </c>
      <c r="U58" s="6">
        <f t="shared" si="16"/>
        <v>0.45454545454545453</v>
      </c>
      <c r="V58" s="6">
        <f t="shared" si="28"/>
        <v>0.40816326530612246</v>
      </c>
      <c r="W58" s="3">
        <f t="shared" si="10"/>
        <v>1</v>
      </c>
      <c r="X58" s="3">
        <f t="shared" si="11"/>
        <v>1</v>
      </c>
      <c r="Y58" s="10">
        <f t="shared" si="12"/>
        <v>1</v>
      </c>
      <c r="Z58" s="13">
        <f t="shared" si="13"/>
        <v>0.041874821013777985</v>
      </c>
    </row>
    <row r="59" spans="1:26" ht="14.25">
      <c r="A59" s="3">
        <f t="shared" si="19"/>
        <v>57</v>
      </c>
      <c r="B59" s="25">
        <f t="shared" si="20"/>
        <v>41939</v>
      </c>
      <c r="C59" s="5">
        <f>34/47</f>
        <v>0.723404255319149</v>
      </c>
      <c r="D59" s="5">
        <f t="shared" si="27"/>
        <v>0.276595744680851</v>
      </c>
      <c r="E59" s="6">
        <f t="shared" si="1"/>
        <v>0.44680851063829796</v>
      </c>
      <c r="F59" s="5">
        <v>0.6</v>
      </c>
      <c r="G59" s="5">
        <v>0.594</v>
      </c>
      <c r="H59" s="5">
        <v>0.615</v>
      </c>
      <c r="I59" s="13">
        <f t="shared" si="2"/>
        <v>-0.02100000000000002</v>
      </c>
      <c r="J59" s="6">
        <f t="shared" si="24"/>
        <v>0</v>
      </c>
      <c r="L59" s="3">
        <f t="shared" si="4"/>
        <v>0</v>
      </c>
      <c r="M59" s="26">
        <f t="shared" si="25"/>
        <v>0</v>
      </c>
      <c r="N59" s="3">
        <f t="shared" si="26"/>
        <v>1</v>
      </c>
      <c r="O59" s="10">
        <f t="shared" si="7"/>
        <v>1</v>
      </c>
      <c r="P59" s="6">
        <f t="shared" si="14"/>
        <v>0.4444444444444444</v>
      </c>
      <c r="Q59" s="11">
        <v>1962.97</v>
      </c>
      <c r="R59" s="11">
        <v>2018.05</v>
      </c>
      <c r="S59" s="12">
        <f t="shared" si="8"/>
        <v>55.07999999999993</v>
      </c>
      <c r="T59" s="13">
        <f t="shared" si="9"/>
        <v>0.028059522050769968</v>
      </c>
      <c r="U59" s="6">
        <f t="shared" si="16"/>
        <v>0.45454545454545453</v>
      </c>
      <c r="V59" s="6">
        <f t="shared" si="28"/>
        <v>0.40816326530612246</v>
      </c>
      <c r="W59" s="3">
        <f t="shared" si="10"/>
        <v>1</v>
      </c>
      <c r="X59" s="3">
        <f t="shared" si="11"/>
        <v>0</v>
      </c>
      <c r="Y59" s="10">
        <f t="shared" si="12"/>
        <v>0</v>
      </c>
      <c r="Z59" s="13">
        <f t="shared" si="13"/>
        <v>0</v>
      </c>
    </row>
    <row r="60" spans="1:26" ht="14.25">
      <c r="A60" s="3">
        <f t="shared" si="19"/>
        <v>58</v>
      </c>
      <c r="B60" s="25">
        <f t="shared" si="20"/>
        <v>41946</v>
      </c>
      <c r="C60" s="5">
        <f>50/82</f>
        <v>0.6097560975609756</v>
      </c>
      <c r="D60" s="5">
        <f t="shared" si="27"/>
        <v>0.3902439024390244</v>
      </c>
      <c r="E60" s="6">
        <f t="shared" si="1"/>
        <v>0.2195121951219512</v>
      </c>
      <c r="F60" s="5">
        <v>0.633</v>
      </c>
      <c r="G60" s="5">
        <v>0.658</v>
      </c>
      <c r="H60" s="5">
        <v>0.594</v>
      </c>
      <c r="I60" s="13">
        <f t="shared" si="2"/>
        <v>0.06400000000000006</v>
      </c>
      <c r="J60" s="6">
        <f t="shared" si="24"/>
        <v>0</v>
      </c>
      <c r="L60" s="3">
        <f t="shared" si="4"/>
        <v>0</v>
      </c>
      <c r="M60" s="26">
        <f t="shared" si="25"/>
        <v>0</v>
      </c>
      <c r="N60" s="3">
        <f t="shared" si="26"/>
        <v>1</v>
      </c>
      <c r="O60" s="10">
        <f t="shared" si="7"/>
        <v>1</v>
      </c>
      <c r="P60" s="6">
        <f t="shared" si="14"/>
        <v>0.45454545454545453</v>
      </c>
      <c r="Q60" s="11">
        <v>2018.21</v>
      </c>
      <c r="R60" s="11">
        <v>2031.92</v>
      </c>
      <c r="S60" s="12">
        <f t="shared" si="8"/>
        <v>13.710000000000036</v>
      </c>
      <c r="T60" s="13">
        <f t="shared" si="9"/>
        <v>0.006793148383964025</v>
      </c>
      <c r="U60" s="6">
        <f t="shared" si="16"/>
        <v>0.45454545454545453</v>
      </c>
      <c r="V60" s="6">
        <f t="shared" si="28"/>
        <v>0.40816326530612246</v>
      </c>
      <c r="W60" s="3">
        <f t="shared" si="10"/>
        <v>1</v>
      </c>
      <c r="X60" s="3">
        <f t="shared" si="11"/>
        <v>1</v>
      </c>
      <c r="Y60" s="10">
        <f t="shared" si="12"/>
        <v>1</v>
      </c>
      <c r="Z60" s="13">
        <f t="shared" si="13"/>
        <v>0.006793148383964025</v>
      </c>
    </row>
    <row r="61" spans="1:26" ht="14.25">
      <c r="A61" s="3">
        <f t="shared" si="19"/>
        <v>59</v>
      </c>
      <c r="B61" s="25">
        <f t="shared" si="20"/>
        <v>41953</v>
      </c>
      <c r="C61" s="5">
        <f>40/66</f>
        <v>0.6060606060606061</v>
      </c>
      <c r="D61" s="5">
        <f t="shared" si="27"/>
        <v>0.3939393939393939</v>
      </c>
      <c r="E61" s="6">
        <f t="shared" si="1"/>
        <v>0.21212121212121215</v>
      </c>
      <c r="F61" s="5">
        <v>0.599</v>
      </c>
      <c r="G61" s="5">
        <v>0.59</v>
      </c>
      <c r="H61" s="5">
        <v>0.612</v>
      </c>
      <c r="I61" s="13">
        <f t="shared" si="2"/>
        <v>-0.02200000000000002</v>
      </c>
      <c r="J61" s="6">
        <f t="shared" si="24"/>
        <v>0</v>
      </c>
      <c r="L61" s="3">
        <f t="shared" si="4"/>
        <v>0</v>
      </c>
      <c r="M61" s="26">
        <f t="shared" si="25"/>
        <v>0</v>
      </c>
      <c r="N61" s="3">
        <f t="shared" si="26"/>
        <v>1</v>
      </c>
      <c r="O61" s="10">
        <f t="shared" si="7"/>
        <v>1</v>
      </c>
      <c r="P61" s="6">
        <f t="shared" si="14"/>
        <v>0.4642857142857143</v>
      </c>
      <c r="Q61" s="11">
        <v>2032.01</v>
      </c>
      <c r="R61" s="11">
        <v>2039.82</v>
      </c>
      <c r="S61" s="12">
        <f t="shared" si="8"/>
        <v>7.809999999999945</v>
      </c>
      <c r="T61" s="13">
        <f t="shared" si="9"/>
        <v>0.003843485022219352</v>
      </c>
      <c r="U61" s="6">
        <f t="shared" si="16"/>
        <v>0.45454545454545453</v>
      </c>
      <c r="V61" s="6">
        <f t="shared" si="28"/>
        <v>0.40816326530612246</v>
      </c>
      <c r="W61" s="3">
        <f t="shared" si="10"/>
        <v>1</v>
      </c>
      <c r="X61" s="3">
        <f t="shared" si="11"/>
        <v>0</v>
      </c>
      <c r="Y61" s="10">
        <f t="shared" si="12"/>
        <v>0</v>
      </c>
      <c r="Z61" s="13">
        <f t="shared" si="13"/>
        <v>0</v>
      </c>
    </row>
    <row r="62" spans="1:26" ht="14.25">
      <c r="A62" s="3">
        <f t="shared" si="19"/>
        <v>60</v>
      </c>
      <c r="B62" s="25">
        <f t="shared" si="20"/>
        <v>41960</v>
      </c>
      <c r="C62" s="5">
        <f>28/64</f>
        <v>0.4375</v>
      </c>
      <c r="D62" s="5">
        <f t="shared" si="27"/>
        <v>0.5625</v>
      </c>
      <c r="E62" s="6">
        <f t="shared" si="1"/>
        <v>-0.125</v>
      </c>
      <c r="F62" s="5">
        <v>0.6</v>
      </c>
      <c r="G62" s="5">
        <v>0.5640000000000001</v>
      </c>
      <c r="H62" s="5">
        <v>0.628</v>
      </c>
      <c r="I62" s="13">
        <f t="shared" si="2"/>
        <v>-0.06399999999999995</v>
      </c>
      <c r="J62" s="6">
        <f t="shared" si="24"/>
        <v>0</v>
      </c>
      <c r="L62" s="3">
        <f t="shared" si="4"/>
        <v>0</v>
      </c>
      <c r="M62" s="26">
        <f t="shared" si="25"/>
        <v>0</v>
      </c>
      <c r="N62" s="3">
        <f t="shared" si="26"/>
        <v>0</v>
      </c>
      <c r="O62" s="10">
        <f t="shared" si="7"/>
        <v>1</v>
      </c>
      <c r="P62" s="6">
        <f t="shared" si="14"/>
        <v>0.45614035087719296</v>
      </c>
      <c r="Q62" s="11">
        <v>2038.29</v>
      </c>
      <c r="R62" s="11">
        <v>2063.5</v>
      </c>
      <c r="S62" s="12">
        <f t="shared" si="8"/>
        <v>25.210000000000036</v>
      </c>
      <c r="T62" s="13">
        <f t="shared" si="9"/>
        <v>0.012368210607911552</v>
      </c>
      <c r="U62" s="6">
        <f t="shared" si="16"/>
        <v>0.45454545454545453</v>
      </c>
      <c r="V62" s="6">
        <f t="shared" si="28"/>
        <v>0.40816326530612246</v>
      </c>
      <c r="W62" s="3">
        <f t="shared" si="10"/>
        <v>0</v>
      </c>
      <c r="X62" s="3">
        <f t="shared" si="11"/>
        <v>0</v>
      </c>
      <c r="Y62" s="10">
        <f t="shared" si="12"/>
        <v>0</v>
      </c>
      <c r="Z62" s="13">
        <f t="shared" si="13"/>
        <v>0</v>
      </c>
    </row>
    <row r="63" spans="1:26" ht="14.25">
      <c r="A63" s="3">
        <f t="shared" si="19"/>
        <v>61</v>
      </c>
      <c r="B63" s="25">
        <f t="shared" si="20"/>
        <v>41967</v>
      </c>
      <c r="C63" s="5">
        <f>39/61</f>
        <v>0.639344262295082</v>
      </c>
      <c r="D63" s="5">
        <f t="shared" si="27"/>
        <v>0.360655737704918</v>
      </c>
      <c r="E63" s="6">
        <f t="shared" si="1"/>
        <v>0.278688524590164</v>
      </c>
      <c r="F63" s="5">
        <v>0.661</v>
      </c>
      <c r="G63" s="5">
        <v>0.651</v>
      </c>
      <c r="H63" s="5">
        <v>0.677</v>
      </c>
      <c r="I63" s="13">
        <f t="shared" si="2"/>
        <v>-0.026000000000000023</v>
      </c>
      <c r="J63" s="6">
        <f t="shared" si="24"/>
        <v>0</v>
      </c>
      <c r="L63" s="3">
        <f t="shared" si="4"/>
        <v>0</v>
      </c>
      <c r="M63" s="26">
        <f t="shared" si="25"/>
        <v>0</v>
      </c>
      <c r="N63" s="3">
        <f t="shared" si="26"/>
        <v>1</v>
      </c>
      <c r="O63" s="10">
        <f t="shared" si="7"/>
        <v>1</v>
      </c>
      <c r="P63" s="6">
        <f t="shared" si="14"/>
        <v>0.46551724137931033</v>
      </c>
      <c r="Q63" s="11">
        <v>2065.07</v>
      </c>
      <c r="R63" s="11">
        <v>2067.56</v>
      </c>
      <c r="S63" s="12">
        <f t="shared" si="8"/>
        <v>2.4899999999997817</v>
      </c>
      <c r="T63" s="13">
        <f t="shared" si="9"/>
        <v>0.0012057702644461357</v>
      </c>
      <c r="U63" s="6">
        <f t="shared" si="16"/>
        <v>0.5454545454545454</v>
      </c>
      <c r="V63" s="6">
        <f t="shared" si="28"/>
        <v>0.42857142857142855</v>
      </c>
      <c r="W63" s="3">
        <f t="shared" si="10"/>
        <v>1</v>
      </c>
      <c r="X63" s="3">
        <f t="shared" si="11"/>
        <v>0</v>
      </c>
      <c r="Y63" s="10">
        <f t="shared" si="12"/>
        <v>0</v>
      </c>
      <c r="Z63" s="13">
        <f t="shared" si="13"/>
        <v>0</v>
      </c>
    </row>
    <row r="64" spans="1:26" ht="14.25">
      <c r="A64" s="3">
        <f t="shared" si="19"/>
        <v>62</v>
      </c>
      <c r="B64" s="25">
        <f t="shared" si="20"/>
        <v>41974</v>
      </c>
      <c r="C64" s="5">
        <f>35/68</f>
        <v>0.5147058823529411</v>
      </c>
      <c r="D64" s="5">
        <f t="shared" si="27"/>
        <v>0.4852941176470589</v>
      </c>
      <c r="E64" s="6">
        <f t="shared" si="1"/>
        <v>0.02941176470588225</v>
      </c>
      <c r="F64" s="5">
        <v>0.649</v>
      </c>
      <c r="G64" s="5">
        <v>0.617</v>
      </c>
      <c r="H64" s="5">
        <v>0.682</v>
      </c>
      <c r="I64" s="13">
        <f t="shared" si="2"/>
        <v>-0.06500000000000006</v>
      </c>
      <c r="J64" s="6">
        <f t="shared" si="24"/>
        <v>0</v>
      </c>
      <c r="L64" s="3">
        <f t="shared" si="4"/>
        <v>0</v>
      </c>
      <c r="M64" s="26">
        <f t="shared" si="25"/>
        <v>0</v>
      </c>
      <c r="N64" s="3">
        <f t="shared" si="26"/>
        <v>1</v>
      </c>
      <c r="O64" s="10">
        <f t="shared" si="7"/>
        <v>1</v>
      </c>
      <c r="P64" s="6">
        <f t="shared" si="14"/>
        <v>0.4745762711864407</v>
      </c>
      <c r="Q64" s="11">
        <v>2065.78</v>
      </c>
      <c r="R64" s="11">
        <v>2075.37</v>
      </c>
      <c r="S64" s="12">
        <f t="shared" si="8"/>
        <v>9.58999999999969</v>
      </c>
      <c r="T64" s="13">
        <f t="shared" si="9"/>
        <v>0.0046423142832245886</v>
      </c>
      <c r="U64" s="6">
        <f t="shared" si="16"/>
        <v>0.6363636363636364</v>
      </c>
      <c r="V64" s="6">
        <f t="shared" si="28"/>
        <v>0.4489795918367347</v>
      </c>
      <c r="W64" s="3">
        <f t="shared" si="10"/>
        <v>0</v>
      </c>
      <c r="X64" s="3">
        <f t="shared" si="11"/>
        <v>0</v>
      </c>
      <c r="Y64" s="10">
        <f t="shared" si="12"/>
        <v>0</v>
      </c>
      <c r="Z64" s="13">
        <f t="shared" si="13"/>
        <v>0</v>
      </c>
    </row>
    <row r="65" spans="1:26" ht="14.25">
      <c r="A65" s="3">
        <f t="shared" si="19"/>
        <v>63</v>
      </c>
      <c r="B65" s="25">
        <f t="shared" si="20"/>
        <v>41981</v>
      </c>
      <c r="C65" s="5">
        <f>34/54</f>
        <v>0.6296296296296297</v>
      </c>
      <c r="D65" s="5">
        <f t="shared" si="27"/>
        <v>0.37037037037037035</v>
      </c>
      <c r="E65" s="6">
        <f t="shared" si="1"/>
        <v>0.2592592592592593</v>
      </c>
      <c r="F65" s="5">
        <v>0.58</v>
      </c>
      <c r="G65" s="5">
        <v>0.559</v>
      </c>
      <c r="H65" s="5">
        <v>0.615</v>
      </c>
      <c r="I65" s="13">
        <f t="shared" si="2"/>
        <v>-0.05599999999999994</v>
      </c>
      <c r="J65" s="6">
        <f t="shared" si="24"/>
        <v>0</v>
      </c>
      <c r="L65" s="3">
        <f t="shared" si="4"/>
        <v>0</v>
      </c>
      <c r="M65" s="26">
        <f t="shared" si="25"/>
        <v>0</v>
      </c>
      <c r="N65" s="3">
        <f t="shared" si="26"/>
        <v>0</v>
      </c>
      <c r="O65" s="10">
        <f t="shared" si="7"/>
        <v>0</v>
      </c>
      <c r="P65" s="6">
        <f t="shared" si="14"/>
        <v>0.4666666666666667</v>
      </c>
      <c r="Q65" s="11">
        <v>2074.84</v>
      </c>
      <c r="R65" s="11">
        <v>2002.33</v>
      </c>
      <c r="S65" s="12">
        <f t="shared" si="8"/>
        <v>-72.51000000000022</v>
      </c>
      <c r="T65" s="13">
        <f t="shared" si="9"/>
        <v>-0.03494727304274075</v>
      </c>
      <c r="U65" s="6">
        <f t="shared" si="16"/>
        <v>0.6363636363636364</v>
      </c>
      <c r="V65" s="6">
        <f t="shared" si="28"/>
        <v>0.42857142857142855</v>
      </c>
      <c r="W65" s="3">
        <f t="shared" si="10"/>
        <v>1</v>
      </c>
      <c r="X65" s="3">
        <f t="shared" si="11"/>
        <v>0</v>
      </c>
      <c r="Y65" s="10">
        <f t="shared" si="12"/>
        <v>0</v>
      </c>
      <c r="Z65" s="13">
        <f t="shared" si="13"/>
        <v>0</v>
      </c>
    </row>
    <row r="66" spans="1:26" ht="14.25">
      <c r="A66" s="3">
        <f t="shared" si="19"/>
        <v>64</v>
      </c>
      <c r="B66" s="25">
        <f t="shared" si="20"/>
        <v>41988</v>
      </c>
      <c r="C66" s="5">
        <f>23/50</f>
        <v>0.46</v>
      </c>
      <c r="D66" s="5">
        <f t="shared" si="27"/>
        <v>0.54</v>
      </c>
      <c r="E66" s="6">
        <f t="shared" si="1"/>
        <v>-0.08000000000000002</v>
      </c>
      <c r="F66" s="5">
        <v>0.626</v>
      </c>
      <c r="G66" s="5">
        <v>0.613</v>
      </c>
      <c r="H66" s="5">
        <v>0.637</v>
      </c>
      <c r="I66" s="13">
        <f t="shared" si="2"/>
        <v>-0.02400000000000002</v>
      </c>
      <c r="J66" s="6">
        <f t="shared" si="24"/>
        <v>0</v>
      </c>
      <c r="L66" s="3">
        <f t="shared" si="4"/>
        <v>0</v>
      </c>
      <c r="M66" s="26">
        <f t="shared" si="25"/>
        <v>0</v>
      </c>
      <c r="N66" s="3">
        <f t="shared" si="26"/>
        <v>0</v>
      </c>
      <c r="O66" s="10">
        <f t="shared" si="7"/>
        <v>1</v>
      </c>
      <c r="P66" s="6">
        <f t="shared" si="14"/>
        <v>0.45901639344262296</v>
      </c>
      <c r="Q66" s="11">
        <v>2005.03</v>
      </c>
      <c r="R66" s="11">
        <v>2070.65</v>
      </c>
      <c r="S66" s="12">
        <f t="shared" si="8"/>
        <v>65.62000000000012</v>
      </c>
      <c r="T66" s="13">
        <f t="shared" si="9"/>
        <v>0.03272768986000216</v>
      </c>
      <c r="U66" s="6">
        <f t="shared" si="16"/>
        <v>0.5454545454545454</v>
      </c>
      <c r="V66" s="6">
        <f t="shared" si="28"/>
        <v>0.40816326530612246</v>
      </c>
      <c r="W66" s="3">
        <f t="shared" si="10"/>
        <v>0</v>
      </c>
      <c r="X66" s="3">
        <f t="shared" si="11"/>
        <v>0</v>
      </c>
      <c r="Y66" s="10">
        <f t="shared" si="12"/>
        <v>0</v>
      </c>
      <c r="Z66" s="13">
        <f t="shared" si="13"/>
        <v>0</v>
      </c>
    </row>
    <row r="67" spans="1:26" ht="14.25">
      <c r="A67" s="3">
        <f t="shared" si="19"/>
        <v>65</v>
      </c>
      <c r="B67" s="25">
        <f t="shared" si="20"/>
        <v>41995</v>
      </c>
      <c r="C67" s="5">
        <f>52/63</f>
        <v>0.8253968253968254</v>
      </c>
      <c r="D67" s="5">
        <f t="shared" si="27"/>
        <v>0.17460317460317465</v>
      </c>
      <c r="E67" s="6">
        <f t="shared" si="1"/>
        <v>0.6507936507936507</v>
      </c>
      <c r="F67" s="5">
        <v>0.626</v>
      </c>
      <c r="G67" s="5">
        <v>0.613</v>
      </c>
      <c r="H67" s="5">
        <v>0.637</v>
      </c>
      <c r="I67" s="13">
        <f t="shared" si="2"/>
        <v>-0.02400000000000002</v>
      </c>
      <c r="J67" s="6">
        <f t="shared" si="24"/>
        <v>0</v>
      </c>
      <c r="L67" s="3">
        <f t="shared" si="4"/>
        <v>0</v>
      </c>
      <c r="M67" s="26">
        <f t="shared" si="25"/>
        <v>0</v>
      </c>
      <c r="N67" s="3">
        <f t="shared" si="26"/>
        <v>1</v>
      </c>
      <c r="O67" s="10">
        <f t="shared" si="7"/>
        <v>1</v>
      </c>
      <c r="P67" s="6">
        <f t="shared" si="14"/>
        <v>0.46774193548387094</v>
      </c>
      <c r="Q67" s="11">
        <v>2069.28</v>
      </c>
      <c r="R67" s="11">
        <v>2088.77</v>
      </c>
      <c r="S67" s="12">
        <f t="shared" si="8"/>
        <v>19.48999999999978</v>
      </c>
      <c r="T67" s="13">
        <f t="shared" si="9"/>
        <v>0.009418735018943681</v>
      </c>
      <c r="U67" s="6">
        <f t="shared" si="16"/>
        <v>0.6363636363636364</v>
      </c>
      <c r="V67" s="6">
        <f t="shared" si="28"/>
        <v>0.42857142857142855</v>
      </c>
      <c r="W67" s="3">
        <f t="shared" si="10"/>
        <v>1</v>
      </c>
      <c r="X67" s="3">
        <f t="shared" si="11"/>
        <v>0</v>
      </c>
      <c r="Y67" s="10">
        <f t="shared" si="12"/>
        <v>0</v>
      </c>
      <c r="Z67" s="13">
        <f t="shared" si="13"/>
        <v>0</v>
      </c>
    </row>
    <row r="68" spans="1:26" ht="14.25">
      <c r="A68" s="3">
        <f t="shared" si="19"/>
        <v>66</v>
      </c>
      <c r="B68" s="25">
        <f t="shared" si="20"/>
        <v>42002</v>
      </c>
      <c r="C68" s="5">
        <f>39/62</f>
        <v>0.6290322580645161</v>
      </c>
      <c r="D68" s="5">
        <f t="shared" si="27"/>
        <v>0.3709677419354839</v>
      </c>
      <c r="E68" s="6">
        <f t="shared" si="1"/>
        <v>0.25806451612903225</v>
      </c>
      <c r="F68" s="5">
        <v>0.645</v>
      </c>
      <c r="G68" s="5">
        <v>0.633</v>
      </c>
      <c r="H68" s="5">
        <v>0.668</v>
      </c>
      <c r="I68" s="13">
        <f t="shared" si="2"/>
        <v>-0.03500000000000003</v>
      </c>
      <c r="J68" s="6">
        <f t="shared" si="24"/>
        <v>0</v>
      </c>
      <c r="L68" s="3">
        <f t="shared" si="4"/>
        <v>0</v>
      </c>
      <c r="M68" s="26">
        <f t="shared" si="25"/>
        <v>0</v>
      </c>
      <c r="N68" s="3">
        <f t="shared" si="26"/>
        <v>0</v>
      </c>
      <c r="O68" s="10">
        <f t="shared" si="7"/>
        <v>0</v>
      </c>
      <c r="P68" s="6">
        <f t="shared" si="14"/>
        <v>0.4603174603174603</v>
      </c>
      <c r="Q68" s="11">
        <v>2087.63</v>
      </c>
      <c r="R68" s="11">
        <v>2058.2</v>
      </c>
      <c r="S68" s="12">
        <f t="shared" si="8"/>
        <v>-29.43000000000029</v>
      </c>
      <c r="T68" s="13">
        <f t="shared" si="9"/>
        <v>-0.014097325675526932</v>
      </c>
      <c r="U68" s="6">
        <f t="shared" si="16"/>
        <v>0.6363636363636364</v>
      </c>
      <c r="V68" s="6">
        <f t="shared" si="28"/>
        <v>0.42857142857142855</v>
      </c>
      <c r="W68" s="3">
        <f t="shared" si="10"/>
        <v>1</v>
      </c>
      <c r="X68" s="3">
        <f t="shared" si="11"/>
        <v>0</v>
      </c>
      <c r="Y68" s="10">
        <f t="shared" si="12"/>
        <v>0</v>
      </c>
      <c r="Z68" s="13">
        <f t="shared" si="13"/>
        <v>0</v>
      </c>
    </row>
    <row r="69" spans="1:26" ht="14.25">
      <c r="A69" s="3">
        <f t="shared" si="19"/>
        <v>67</v>
      </c>
      <c r="B69" s="25">
        <f t="shared" si="20"/>
        <v>42009</v>
      </c>
      <c r="C69" s="5">
        <f>34/73</f>
        <v>0.4657534246575342</v>
      </c>
      <c r="D69" s="5">
        <f t="shared" si="27"/>
        <v>0.5342465753424658</v>
      </c>
      <c r="E69" s="6">
        <f t="shared" si="1"/>
        <v>-0.06849315068493156</v>
      </c>
      <c r="F69" s="5">
        <v>0.596</v>
      </c>
      <c r="G69" s="5">
        <v>0.615</v>
      </c>
      <c r="H69" s="5">
        <v>0.58</v>
      </c>
      <c r="I69" s="13">
        <f t="shared" si="2"/>
        <v>0.03500000000000003</v>
      </c>
      <c r="J69" s="6">
        <f t="shared" si="24"/>
        <v>0</v>
      </c>
      <c r="L69" s="3">
        <f t="shared" si="4"/>
        <v>0</v>
      </c>
      <c r="M69" s="26">
        <f t="shared" si="25"/>
        <v>0</v>
      </c>
      <c r="N69" s="3">
        <f t="shared" si="26"/>
        <v>1</v>
      </c>
      <c r="O69" s="10">
        <f t="shared" si="7"/>
        <v>0</v>
      </c>
      <c r="P69" s="6">
        <f t="shared" si="14"/>
        <v>0.46875</v>
      </c>
      <c r="Q69" s="11">
        <v>2054.44</v>
      </c>
      <c r="R69" s="11">
        <v>2044.81</v>
      </c>
      <c r="S69" s="12">
        <f t="shared" si="8"/>
        <v>-9.63000000000011</v>
      </c>
      <c r="T69" s="13">
        <f t="shared" si="9"/>
        <v>-0.00468740873425367</v>
      </c>
      <c r="U69" s="6">
        <f t="shared" si="16"/>
        <v>0.6363636363636364</v>
      </c>
      <c r="V69" s="6">
        <f t="shared" si="28"/>
        <v>0.4489795918367347</v>
      </c>
      <c r="W69" s="3">
        <f t="shared" si="10"/>
        <v>0</v>
      </c>
      <c r="X69" s="3">
        <f t="shared" si="11"/>
        <v>1</v>
      </c>
      <c r="Y69" s="10">
        <f t="shared" si="12"/>
        <v>0</v>
      </c>
      <c r="Z69" s="13">
        <f t="shared" si="13"/>
        <v>0</v>
      </c>
    </row>
    <row r="70" spans="1:26" ht="14.25">
      <c r="A70" s="3">
        <f t="shared" si="19"/>
        <v>68</v>
      </c>
      <c r="B70" s="25">
        <f t="shared" si="20"/>
        <v>42016</v>
      </c>
      <c r="C70" s="5">
        <f>35/56</f>
        <v>0.625</v>
      </c>
      <c r="D70" s="5">
        <f t="shared" si="27"/>
        <v>0.375</v>
      </c>
      <c r="E70" s="6">
        <f t="shared" si="1"/>
        <v>0.25</v>
      </c>
      <c r="F70" s="5">
        <v>0.6</v>
      </c>
      <c r="G70" s="5">
        <v>0.5710000000000001</v>
      </c>
      <c r="H70" s="5">
        <v>0.648</v>
      </c>
      <c r="I70" s="13">
        <f t="shared" si="2"/>
        <v>-0.07699999999999996</v>
      </c>
      <c r="J70" s="6">
        <f t="shared" si="24"/>
        <v>0</v>
      </c>
      <c r="L70" s="3">
        <f t="shared" si="4"/>
        <v>0</v>
      </c>
      <c r="M70" s="26">
        <f t="shared" si="25"/>
        <v>0</v>
      </c>
      <c r="N70" s="3">
        <f t="shared" si="26"/>
        <v>0</v>
      </c>
      <c r="O70" s="10">
        <f t="shared" si="7"/>
        <v>0</v>
      </c>
      <c r="P70" s="6">
        <f t="shared" si="14"/>
        <v>0.46153846153846156</v>
      </c>
      <c r="Q70" s="11">
        <v>2046.13</v>
      </c>
      <c r="R70" s="11">
        <v>2019.42</v>
      </c>
      <c r="S70" s="12">
        <f t="shared" si="8"/>
        <v>-26.710000000000036</v>
      </c>
      <c r="T70" s="13">
        <f t="shared" si="9"/>
        <v>-0.01305391153054793</v>
      </c>
      <c r="U70" s="6">
        <f t="shared" si="16"/>
        <v>0.5454545454545454</v>
      </c>
      <c r="V70" s="6">
        <f t="shared" si="28"/>
        <v>0.4489795918367347</v>
      </c>
      <c r="W70" s="3">
        <f t="shared" si="10"/>
        <v>1</v>
      </c>
      <c r="X70" s="3">
        <f t="shared" si="11"/>
        <v>0</v>
      </c>
      <c r="Y70" s="10">
        <f t="shared" si="12"/>
        <v>0</v>
      </c>
      <c r="Z70" s="13">
        <f t="shared" si="13"/>
        <v>0</v>
      </c>
    </row>
    <row r="71" spans="1:26" ht="14.25">
      <c r="A71" s="3">
        <f t="shared" si="19"/>
        <v>69</v>
      </c>
      <c r="B71" s="25">
        <f t="shared" si="20"/>
        <v>42023</v>
      </c>
      <c r="C71" s="5">
        <f>48/70</f>
        <v>0.6857142857142857</v>
      </c>
      <c r="D71" s="5">
        <f t="shared" si="27"/>
        <v>0.3142857142857143</v>
      </c>
      <c r="E71" s="6">
        <f t="shared" si="1"/>
        <v>0.37142857142857144</v>
      </c>
      <c r="F71" s="5">
        <v>0.643</v>
      </c>
      <c r="G71" s="5">
        <v>0.667</v>
      </c>
      <c r="H71" s="5">
        <v>0.591</v>
      </c>
      <c r="I71" s="13">
        <f t="shared" si="2"/>
        <v>0.07600000000000007</v>
      </c>
      <c r="J71" s="6">
        <f t="shared" si="24"/>
        <v>0</v>
      </c>
      <c r="L71" s="3">
        <f t="shared" si="4"/>
        <v>0</v>
      </c>
      <c r="M71" s="26">
        <f t="shared" si="25"/>
        <v>0</v>
      </c>
      <c r="N71" s="3">
        <f t="shared" si="26"/>
        <v>1</v>
      </c>
      <c r="O71" s="10">
        <f t="shared" si="7"/>
        <v>1</v>
      </c>
      <c r="P71" s="6">
        <f t="shared" si="14"/>
        <v>0.4696969696969697</v>
      </c>
      <c r="Q71" s="11">
        <v>2020.76</v>
      </c>
      <c r="R71" s="11">
        <v>2051.82</v>
      </c>
      <c r="S71" s="12">
        <f t="shared" si="8"/>
        <v>31.060000000000173</v>
      </c>
      <c r="T71" s="13">
        <f t="shared" si="9"/>
        <v>0.015370454680417355</v>
      </c>
      <c r="U71" s="6">
        <f t="shared" si="16"/>
        <v>0.5454545454545454</v>
      </c>
      <c r="V71" s="6">
        <f t="shared" si="28"/>
        <v>0.46938775510204084</v>
      </c>
      <c r="W71" s="3">
        <f t="shared" si="10"/>
        <v>1</v>
      </c>
      <c r="X71" s="3">
        <f t="shared" si="11"/>
        <v>1</v>
      </c>
      <c r="Y71" s="10">
        <f t="shared" si="12"/>
        <v>1</v>
      </c>
      <c r="Z71" s="13">
        <f t="shared" si="13"/>
        <v>0.015370454680417355</v>
      </c>
    </row>
    <row r="72" spans="1:26" ht="14.25">
      <c r="A72" s="3">
        <f t="shared" si="19"/>
        <v>70</v>
      </c>
      <c r="B72" s="25">
        <f t="shared" si="20"/>
        <v>42030</v>
      </c>
      <c r="C72" s="5">
        <f>43/64</f>
        <v>0.671875</v>
      </c>
      <c r="D72" s="5">
        <f t="shared" si="27"/>
        <v>0.328125</v>
      </c>
      <c r="E72" s="6">
        <f t="shared" si="1"/>
        <v>0.34375</v>
      </c>
      <c r="F72" s="5">
        <v>0.623</v>
      </c>
      <c r="G72" s="5">
        <v>0.626</v>
      </c>
      <c r="H72" s="5">
        <v>0.619</v>
      </c>
      <c r="I72" s="13">
        <f t="shared" si="2"/>
        <v>0.007000000000000006</v>
      </c>
      <c r="J72" s="6">
        <f t="shared" si="24"/>
        <v>0</v>
      </c>
      <c r="L72" s="3">
        <f t="shared" si="4"/>
        <v>0</v>
      </c>
      <c r="M72" s="26">
        <f t="shared" si="25"/>
        <v>0</v>
      </c>
      <c r="N72" s="3">
        <f t="shared" si="26"/>
        <v>0</v>
      </c>
      <c r="O72" s="10">
        <f t="shared" si="7"/>
        <v>0</v>
      </c>
      <c r="P72" s="6">
        <f t="shared" si="14"/>
        <v>0.4626865671641791</v>
      </c>
      <c r="Q72" s="11">
        <v>2050.42</v>
      </c>
      <c r="R72" s="11">
        <v>1994.99</v>
      </c>
      <c r="S72" s="12">
        <f t="shared" si="8"/>
        <v>-55.430000000000064</v>
      </c>
      <c r="T72" s="13">
        <f t="shared" si="9"/>
        <v>-0.0270334858224169</v>
      </c>
      <c r="U72" s="6">
        <f t="shared" si="16"/>
        <v>0.45454545454545453</v>
      </c>
      <c r="V72" s="6">
        <f t="shared" si="28"/>
        <v>0.46938775510204084</v>
      </c>
      <c r="W72" s="3">
        <f t="shared" si="10"/>
        <v>1</v>
      </c>
      <c r="X72" s="3">
        <f t="shared" si="11"/>
        <v>1</v>
      </c>
      <c r="Y72" s="10">
        <f t="shared" si="12"/>
        <v>0</v>
      </c>
      <c r="Z72" s="13">
        <f t="shared" si="13"/>
        <v>-0.0270334858224169</v>
      </c>
    </row>
    <row r="73" spans="1:26" ht="14.25">
      <c r="A73" s="3">
        <f t="shared" si="19"/>
        <v>71</v>
      </c>
      <c r="B73" s="25">
        <f t="shared" si="20"/>
        <v>42037</v>
      </c>
      <c r="C73" s="5">
        <f>37/88</f>
        <v>0.42045454545454547</v>
      </c>
      <c r="D73" s="5">
        <f t="shared" si="27"/>
        <v>0.5795454545454546</v>
      </c>
      <c r="E73" s="6">
        <f t="shared" si="1"/>
        <v>-0.15909090909090912</v>
      </c>
      <c r="F73" s="5">
        <v>0.634</v>
      </c>
      <c r="G73" s="5">
        <v>0.624</v>
      </c>
      <c r="H73" s="5">
        <v>0.641</v>
      </c>
      <c r="I73" s="13">
        <f t="shared" si="2"/>
        <v>-0.017000000000000015</v>
      </c>
      <c r="J73" s="6">
        <f t="shared" si="24"/>
        <v>0</v>
      </c>
      <c r="L73" s="3">
        <f t="shared" si="4"/>
        <v>0</v>
      </c>
      <c r="M73" s="26">
        <f t="shared" si="25"/>
        <v>0</v>
      </c>
      <c r="N73" s="3">
        <f t="shared" si="26"/>
        <v>0</v>
      </c>
      <c r="O73" s="10">
        <f t="shared" si="7"/>
        <v>1</v>
      </c>
      <c r="P73" s="6">
        <f t="shared" si="14"/>
        <v>0.45588235294117646</v>
      </c>
      <c r="Q73" s="11">
        <v>1996.67</v>
      </c>
      <c r="R73" s="11">
        <v>2062.13</v>
      </c>
      <c r="S73" s="12">
        <f t="shared" si="8"/>
        <v>65.46000000000004</v>
      </c>
      <c r="T73" s="13">
        <f t="shared" si="9"/>
        <v>0.03278458633624987</v>
      </c>
      <c r="U73" s="6">
        <f t="shared" si="16"/>
        <v>0.45454545454545453</v>
      </c>
      <c r="V73" s="6">
        <f t="shared" si="28"/>
        <v>0.4489795918367347</v>
      </c>
      <c r="W73" s="3">
        <f t="shared" si="10"/>
        <v>0</v>
      </c>
      <c r="X73" s="3">
        <f t="shared" si="11"/>
        <v>0</v>
      </c>
      <c r="Y73" s="10">
        <f t="shared" si="12"/>
        <v>0</v>
      </c>
      <c r="Z73" s="13">
        <f t="shared" si="13"/>
        <v>0</v>
      </c>
    </row>
    <row r="74" spans="1:26" ht="14.25">
      <c r="A74" s="3">
        <f t="shared" si="19"/>
        <v>72</v>
      </c>
      <c r="B74" s="25">
        <f t="shared" si="20"/>
        <v>42044</v>
      </c>
      <c r="C74" s="5">
        <f>32/61</f>
        <v>0.5245901639344263</v>
      </c>
      <c r="D74" s="5">
        <f t="shared" si="27"/>
        <v>0.47540983606557374</v>
      </c>
      <c r="E74" s="6">
        <f t="shared" si="1"/>
        <v>0.049180327868852514</v>
      </c>
      <c r="F74" s="5">
        <v>0.621</v>
      </c>
      <c r="G74" s="5">
        <v>0.606</v>
      </c>
      <c r="H74" s="5">
        <v>0.638</v>
      </c>
      <c r="I74" s="13">
        <f t="shared" si="2"/>
        <v>-0.03200000000000003</v>
      </c>
      <c r="J74" s="6">
        <f t="shared" si="24"/>
        <v>0</v>
      </c>
      <c r="L74" s="3">
        <f t="shared" si="4"/>
        <v>0</v>
      </c>
      <c r="M74" s="26">
        <f t="shared" si="25"/>
        <v>0</v>
      </c>
      <c r="N74" s="3">
        <f t="shared" si="26"/>
        <v>1</v>
      </c>
      <c r="O74" s="10">
        <f t="shared" si="7"/>
        <v>1</v>
      </c>
      <c r="P74" s="6">
        <f t="shared" si="14"/>
        <v>0.463768115942029</v>
      </c>
      <c r="Q74" s="11">
        <v>2053.47</v>
      </c>
      <c r="R74" s="11">
        <v>2096.99</v>
      </c>
      <c r="S74" s="12">
        <f t="shared" si="8"/>
        <v>43.51999999999998</v>
      </c>
      <c r="T74" s="13">
        <f t="shared" si="9"/>
        <v>0.02119339459548958</v>
      </c>
      <c r="U74" s="6">
        <f t="shared" si="16"/>
        <v>0.45454545454545453</v>
      </c>
      <c r="V74" s="6">
        <f t="shared" si="28"/>
        <v>0.46938775510204084</v>
      </c>
      <c r="W74" s="3">
        <f t="shared" si="10"/>
        <v>0</v>
      </c>
      <c r="X74" s="3">
        <f t="shared" si="11"/>
        <v>0</v>
      </c>
      <c r="Y74" s="10">
        <f t="shared" si="12"/>
        <v>0</v>
      </c>
      <c r="Z74" s="13">
        <f t="shared" si="13"/>
        <v>0</v>
      </c>
    </row>
    <row r="75" spans="1:26" ht="14.25">
      <c r="A75" s="3">
        <f t="shared" si="19"/>
        <v>73</v>
      </c>
      <c r="B75" s="25">
        <f t="shared" si="20"/>
        <v>42051</v>
      </c>
      <c r="C75" s="5">
        <f>34/64</f>
        <v>0.53125</v>
      </c>
      <c r="D75" s="5">
        <f t="shared" si="27"/>
        <v>0.46875</v>
      </c>
      <c r="E75" s="6">
        <f t="shared" si="1"/>
        <v>0.0625</v>
      </c>
      <c r="F75" s="5">
        <v>0.644</v>
      </c>
      <c r="G75" s="5">
        <v>0.662</v>
      </c>
      <c r="H75" s="5">
        <v>0.623</v>
      </c>
      <c r="I75" s="13">
        <f t="shared" si="2"/>
        <v>0.039000000000000035</v>
      </c>
      <c r="J75" s="6">
        <f t="shared" si="24"/>
        <v>0</v>
      </c>
      <c r="L75" s="3">
        <f t="shared" si="4"/>
        <v>0</v>
      </c>
      <c r="M75" s="26">
        <f t="shared" si="25"/>
        <v>0</v>
      </c>
      <c r="N75" s="3">
        <f t="shared" si="26"/>
        <v>1</v>
      </c>
      <c r="O75" s="10">
        <f t="shared" si="7"/>
        <v>1</v>
      </c>
      <c r="P75" s="6">
        <f t="shared" si="14"/>
        <v>0.4714285714285714</v>
      </c>
      <c r="Q75" s="11">
        <v>2096.47</v>
      </c>
      <c r="R75" s="11">
        <v>2110.3</v>
      </c>
      <c r="S75" s="12">
        <f t="shared" si="8"/>
        <v>13.830000000000382</v>
      </c>
      <c r="T75" s="13">
        <f t="shared" si="9"/>
        <v>0.006596803197756411</v>
      </c>
      <c r="U75" s="6">
        <f t="shared" si="16"/>
        <v>0.45454545454545453</v>
      </c>
      <c r="V75" s="6">
        <f t="shared" si="28"/>
        <v>0.4897959183673469</v>
      </c>
      <c r="W75" s="3">
        <f t="shared" si="10"/>
        <v>0</v>
      </c>
      <c r="X75" s="3">
        <f t="shared" si="11"/>
        <v>1</v>
      </c>
      <c r="Y75" s="10">
        <f t="shared" si="12"/>
        <v>0</v>
      </c>
      <c r="Z75" s="13">
        <f t="shared" si="13"/>
        <v>0</v>
      </c>
    </row>
    <row r="76" spans="1:26" ht="14.25">
      <c r="A76" s="3">
        <f t="shared" si="19"/>
        <v>74</v>
      </c>
      <c r="B76" s="25">
        <f t="shared" si="20"/>
        <v>42058</v>
      </c>
      <c r="C76" s="5">
        <f>48/75</f>
        <v>0.64</v>
      </c>
      <c r="D76" s="5">
        <f t="shared" si="27"/>
        <v>0.36</v>
      </c>
      <c r="E76" s="6">
        <f t="shared" si="1"/>
        <v>0.28</v>
      </c>
      <c r="F76" s="5">
        <v>0.663</v>
      </c>
      <c r="G76" s="5">
        <v>0.665</v>
      </c>
      <c r="H76" s="5">
        <v>0.659</v>
      </c>
      <c r="I76" s="13">
        <f t="shared" si="2"/>
        <v>0.006000000000000005</v>
      </c>
      <c r="J76" s="6">
        <f t="shared" si="24"/>
        <v>0</v>
      </c>
      <c r="L76" s="3">
        <f t="shared" si="4"/>
        <v>0</v>
      </c>
      <c r="M76" s="26">
        <f t="shared" si="25"/>
        <v>0</v>
      </c>
      <c r="N76" s="3">
        <f t="shared" si="26"/>
        <v>0</v>
      </c>
      <c r="O76" s="10">
        <f t="shared" si="7"/>
        <v>0</v>
      </c>
      <c r="P76" s="6">
        <f t="shared" si="14"/>
        <v>0.4647887323943662</v>
      </c>
      <c r="Q76" s="11">
        <v>2109.83</v>
      </c>
      <c r="R76" s="11">
        <v>2104.5</v>
      </c>
      <c r="S76" s="12">
        <f t="shared" si="8"/>
        <v>-5.329999999999927</v>
      </c>
      <c r="T76" s="13">
        <f t="shared" si="9"/>
        <v>-0.002526269889043159</v>
      </c>
      <c r="U76" s="6">
        <f t="shared" si="16"/>
        <v>0.45454545454545453</v>
      </c>
      <c r="V76" s="6">
        <f t="shared" si="28"/>
        <v>0.48</v>
      </c>
      <c r="W76" s="3">
        <f t="shared" si="10"/>
        <v>1</v>
      </c>
      <c r="X76" s="3">
        <f t="shared" si="11"/>
        <v>1</v>
      </c>
      <c r="Y76" s="10">
        <f t="shared" si="12"/>
        <v>0</v>
      </c>
      <c r="Z76" s="13">
        <f t="shared" si="13"/>
        <v>-0.002526269889043159</v>
      </c>
    </row>
    <row r="77" spans="1:26" ht="14.25">
      <c r="A77" s="3">
        <f t="shared" si="19"/>
        <v>75</v>
      </c>
      <c r="B77" s="25">
        <f t="shared" si="20"/>
        <v>42065</v>
      </c>
      <c r="C77" s="5">
        <f>41/88</f>
        <v>0.4659090909090909</v>
      </c>
      <c r="D77" s="5">
        <f t="shared" si="27"/>
        <v>0.5340909090909092</v>
      </c>
      <c r="E77" s="6">
        <f t="shared" si="1"/>
        <v>-0.06818181818181829</v>
      </c>
      <c r="F77" s="5">
        <v>0.659</v>
      </c>
      <c r="G77" s="5">
        <v>0.715</v>
      </c>
      <c r="H77" s="5">
        <v>0.611</v>
      </c>
      <c r="I77" s="13">
        <f t="shared" si="2"/>
        <v>0.10399999999999998</v>
      </c>
      <c r="J77" s="6">
        <f t="shared" si="24"/>
        <v>0</v>
      </c>
      <c r="L77" s="3">
        <f t="shared" si="4"/>
        <v>0</v>
      </c>
      <c r="M77" s="26">
        <f t="shared" si="25"/>
        <v>0</v>
      </c>
      <c r="N77" s="3">
        <f t="shared" si="26"/>
        <v>1</v>
      </c>
      <c r="O77" s="10">
        <f t="shared" si="7"/>
        <v>0</v>
      </c>
      <c r="P77" s="6">
        <f t="shared" si="14"/>
        <v>0.4722222222222222</v>
      </c>
      <c r="Q77" s="11">
        <v>2105.23</v>
      </c>
      <c r="R77" s="11">
        <v>2071.26</v>
      </c>
      <c r="S77" s="12">
        <f t="shared" si="8"/>
        <v>-33.9699999999998</v>
      </c>
      <c r="T77" s="13">
        <f t="shared" si="9"/>
        <v>-0.016136004142065143</v>
      </c>
      <c r="U77" s="6">
        <f t="shared" si="16"/>
        <v>0.5454545454545454</v>
      </c>
      <c r="V77" s="6">
        <f t="shared" si="28"/>
        <v>0.48</v>
      </c>
      <c r="W77" s="3">
        <f t="shared" si="10"/>
        <v>0</v>
      </c>
      <c r="X77" s="3">
        <f t="shared" si="11"/>
        <v>1</v>
      </c>
      <c r="Y77" s="10">
        <f t="shared" si="12"/>
        <v>0</v>
      </c>
      <c r="Z77" s="13">
        <f t="shared" si="13"/>
        <v>0</v>
      </c>
    </row>
    <row r="78" spans="1:26" ht="14.25">
      <c r="A78" s="3">
        <f t="shared" si="19"/>
        <v>76</v>
      </c>
      <c r="B78" s="25">
        <f t="shared" si="20"/>
        <v>42072</v>
      </c>
      <c r="C78" s="5">
        <f>35/70</f>
        <v>0.5</v>
      </c>
      <c r="D78" s="5">
        <f t="shared" si="27"/>
        <v>0.5</v>
      </c>
      <c r="E78" s="6">
        <f t="shared" si="1"/>
        <v>0</v>
      </c>
      <c r="F78" s="5">
        <v>0.619</v>
      </c>
      <c r="G78" s="5">
        <v>0.583</v>
      </c>
      <c r="H78" s="5">
        <v>0.654</v>
      </c>
      <c r="I78" s="13">
        <f t="shared" si="2"/>
        <v>-0.07100000000000006</v>
      </c>
      <c r="J78" s="3" t="s">
        <v>128</v>
      </c>
      <c r="L78" s="3">
        <f t="shared" si="4"/>
        <v>0</v>
      </c>
      <c r="M78" s="3" t="s">
        <v>128</v>
      </c>
      <c r="N78" s="3" t="s">
        <v>128</v>
      </c>
      <c r="O78" s="10">
        <f t="shared" si="7"/>
        <v>0</v>
      </c>
      <c r="P78" s="6">
        <f t="shared" si="14"/>
        <v>0.4722222222222222</v>
      </c>
      <c r="Q78" s="11">
        <v>2072.25</v>
      </c>
      <c r="R78" s="11">
        <v>2053.4</v>
      </c>
      <c r="S78" s="12">
        <f t="shared" si="8"/>
        <v>-18.84999999999991</v>
      </c>
      <c r="T78" s="13">
        <f t="shared" si="9"/>
        <v>-0.009096392809747814</v>
      </c>
      <c r="U78" s="6">
        <f t="shared" si="16"/>
        <v>0.5</v>
      </c>
      <c r="V78" s="6">
        <f t="shared" si="28"/>
        <v>0.4897959183673469</v>
      </c>
      <c r="W78" s="3">
        <f t="shared" si="10"/>
        <v>0</v>
      </c>
      <c r="X78" s="3">
        <f t="shared" si="11"/>
        <v>0</v>
      </c>
      <c r="Y78" s="10">
        <f t="shared" si="12"/>
        <v>0</v>
      </c>
      <c r="Z78" s="13">
        <f t="shared" si="13"/>
        <v>0</v>
      </c>
    </row>
    <row r="79" spans="1:26" ht="14.25">
      <c r="A79" s="3">
        <f t="shared" si="19"/>
        <v>77</v>
      </c>
      <c r="B79" s="25">
        <f t="shared" si="20"/>
        <v>42079</v>
      </c>
      <c r="C79" s="5">
        <f>38/67</f>
        <v>0.5671641791044776</v>
      </c>
      <c r="D79" s="5">
        <f t="shared" si="27"/>
        <v>0.4328358208955224</v>
      </c>
      <c r="E79" s="6">
        <f t="shared" si="1"/>
        <v>0.13432835820895517</v>
      </c>
      <c r="F79" s="5">
        <v>0.655</v>
      </c>
      <c r="G79" s="5">
        <v>0.621</v>
      </c>
      <c r="H79" s="5">
        <v>0.7</v>
      </c>
      <c r="I79" s="13">
        <f t="shared" si="2"/>
        <v>-0.07899999999999996</v>
      </c>
      <c r="J79" s="6">
        <f aca="true" t="shared" si="29" ref="J79:J167">IF(C79&gt;D79,"Higher","Lower")</f>
        <v>0</v>
      </c>
      <c r="L79" s="3">
        <f t="shared" si="4"/>
        <v>0</v>
      </c>
      <c r="M79" s="26">
        <f aca="true" t="shared" si="30" ref="M79:M166">IF(J79=L79,"Yes","No")</f>
        <v>0</v>
      </c>
      <c r="N79" s="3">
        <f aca="true" t="shared" si="31" ref="N79:N166">IF(M79="Yes",1,0)</f>
        <v>1</v>
      </c>
      <c r="O79" s="10">
        <f t="shared" si="7"/>
        <v>1</v>
      </c>
      <c r="P79" s="6">
        <f t="shared" si="14"/>
        <v>0.4794520547945205</v>
      </c>
      <c r="Q79" s="11">
        <v>2055.35</v>
      </c>
      <c r="R79" s="11">
        <v>2108.06</v>
      </c>
      <c r="S79" s="12">
        <f t="shared" si="8"/>
        <v>52.710000000000036</v>
      </c>
      <c r="T79" s="13">
        <f t="shared" si="9"/>
        <v>0.025645267229425665</v>
      </c>
      <c r="U79" s="6">
        <f t="shared" si="16"/>
        <v>0.6</v>
      </c>
      <c r="V79" s="6">
        <f t="shared" si="28"/>
        <v>0.5102040816326531</v>
      </c>
      <c r="W79" s="3">
        <f t="shared" si="10"/>
        <v>1</v>
      </c>
      <c r="X79" s="3">
        <f t="shared" si="11"/>
        <v>0</v>
      </c>
      <c r="Y79" s="10">
        <f t="shared" si="12"/>
        <v>0</v>
      </c>
      <c r="Z79" s="13">
        <f t="shared" si="13"/>
        <v>0</v>
      </c>
    </row>
    <row r="80" spans="1:26" ht="14.25">
      <c r="A80" s="3">
        <f t="shared" si="19"/>
        <v>78</v>
      </c>
      <c r="B80" s="25">
        <f t="shared" si="20"/>
        <v>42086</v>
      </c>
      <c r="C80" s="5">
        <f>52/66</f>
        <v>0.7878787878787878</v>
      </c>
      <c r="D80" s="5">
        <f t="shared" si="27"/>
        <v>0.21212121212121215</v>
      </c>
      <c r="E80" s="6">
        <f t="shared" si="1"/>
        <v>0.5757575757575757</v>
      </c>
      <c r="F80" s="5">
        <v>0.683</v>
      </c>
      <c r="G80" s="5">
        <v>0.683</v>
      </c>
      <c r="H80" s="5">
        <v>0.686</v>
      </c>
      <c r="I80" s="13">
        <f t="shared" si="2"/>
        <v>-0.0030000000000000027</v>
      </c>
      <c r="J80" s="6">
        <f t="shared" si="29"/>
        <v>0</v>
      </c>
      <c r="L80" s="3">
        <f t="shared" si="4"/>
        <v>0</v>
      </c>
      <c r="M80" s="26">
        <f t="shared" si="30"/>
        <v>0</v>
      </c>
      <c r="N80" s="3">
        <f t="shared" si="31"/>
        <v>0</v>
      </c>
      <c r="O80" s="10">
        <f t="shared" si="7"/>
        <v>0</v>
      </c>
      <c r="P80" s="6">
        <f t="shared" si="14"/>
        <v>0.47297297297297297</v>
      </c>
      <c r="Q80" s="11">
        <v>2107.99</v>
      </c>
      <c r="R80" s="11">
        <v>2061.02</v>
      </c>
      <c r="S80" s="12">
        <f t="shared" si="8"/>
        <v>-46.9699999999998</v>
      </c>
      <c r="T80" s="13">
        <f t="shared" si="9"/>
        <v>-0.022281889382776865</v>
      </c>
      <c r="U80" s="6">
        <f t="shared" si="16"/>
        <v>0.5</v>
      </c>
      <c r="V80" s="6">
        <f t="shared" si="28"/>
        <v>0.5102040816326531</v>
      </c>
      <c r="W80" s="3">
        <f t="shared" si="10"/>
        <v>1</v>
      </c>
      <c r="X80" s="3">
        <f t="shared" si="11"/>
        <v>0</v>
      </c>
      <c r="Y80" s="10">
        <f t="shared" si="12"/>
        <v>0</v>
      </c>
      <c r="Z80" s="13">
        <f t="shared" si="13"/>
        <v>0</v>
      </c>
    </row>
    <row r="81" spans="1:26" ht="14.25">
      <c r="A81" s="3">
        <f t="shared" si="19"/>
        <v>79</v>
      </c>
      <c r="B81" s="25">
        <f t="shared" si="20"/>
        <v>42093</v>
      </c>
      <c r="C81" s="5">
        <f>29/48</f>
        <v>0.6041666666666666</v>
      </c>
      <c r="D81" s="5">
        <f t="shared" si="27"/>
        <v>0.39583333333333337</v>
      </c>
      <c r="E81" s="6">
        <f t="shared" si="1"/>
        <v>0.20833333333333326</v>
      </c>
      <c r="F81" s="5">
        <v>0.644</v>
      </c>
      <c r="G81" s="5">
        <v>0.648</v>
      </c>
      <c r="H81" s="5">
        <v>0.637</v>
      </c>
      <c r="I81" s="13">
        <f t="shared" si="2"/>
        <v>0.01100000000000001</v>
      </c>
      <c r="J81" s="6">
        <f t="shared" si="29"/>
        <v>0</v>
      </c>
      <c r="L81" s="3">
        <f t="shared" si="4"/>
        <v>0</v>
      </c>
      <c r="M81" s="26">
        <f t="shared" si="30"/>
        <v>0</v>
      </c>
      <c r="N81" s="3">
        <f t="shared" si="31"/>
        <v>1</v>
      </c>
      <c r="O81" s="10">
        <f t="shared" si="7"/>
        <v>1</v>
      </c>
      <c r="P81" s="6">
        <f t="shared" si="14"/>
        <v>0.48</v>
      </c>
      <c r="Q81" s="11">
        <v>2064.11</v>
      </c>
      <c r="R81" s="11">
        <v>2066.96</v>
      </c>
      <c r="S81" s="12">
        <f t="shared" si="8"/>
        <v>2.849999999999909</v>
      </c>
      <c r="T81" s="13">
        <f t="shared" si="9"/>
        <v>0.0013807403675191287</v>
      </c>
      <c r="U81" s="6">
        <f t="shared" si="16"/>
        <v>0.6</v>
      </c>
      <c r="V81" s="6">
        <f t="shared" si="28"/>
        <v>0.5102040816326531</v>
      </c>
      <c r="W81" s="3">
        <f t="shared" si="10"/>
        <v>1</v>
      </c>
      <c r="X81" s="3">
        <f t="shared" si="11"/>
        <v>1</v>
      </c>
      <c r="Y81" s="10">
        <f t="shared" si="12"/>
        <v>1</v>
      </c>
      <c r="Z81" s="13">
        <f t="shared" si="13"/>
        <v>0.0013807403675191287</v>
      </c>
    </row>
    <row r="82" spans="1:26" ht="14.25">
      <c r="A82" s="3">
        <f t="shared" si="19"/>
        <v>80</v>
      </c>
      <c r="B82" s="25">
        <f t="shared" si="20"/>
        <v>42100</v>
      </c>
      <c r="C82" s="5">
        <f>30/56</f>
        <v>0.5357142857142857</v>
      </c>
      <c r="D82" s="5">
        <f t="shared" si="27"/>
        <v>0.4642857142857143</v>
      </c>
      <c r="E82" s="6">
        <f t="shared" si="1"/>
        <v>0.0714285714285714</v>
      </c>
      <c r="F82" s="5">
        <v>0.629</v>
      </c>
      <c r="G82" s="5">
        <v>0.58</v>
      </c>
      <c r="H82" s="5">
        <v>0.685</v>
      </c>
      <c r="I82" s="13">
        <f t="shared" si="2"/>
        <v>-0.1050000000000001</v>
      </c>
      <c r="J82" s="6">
        <f t="shared" si="29"/>
        <v>0</v>
      </c>
      <c r="L82" s="3">
        <f t="shared" si="4"/>
        <v>0</v>
      </c>
      <c r="M82" s="26">
        <f t="shared" si="30"/>
        <v>0</v>
      </c>
      <c r="N82" s="3">
        <f t="shared" si="31"/>
        <v>1</v>
      </c>
      <c r="O82" s="10">
        <f t="shared" si="7"/>
        <v>1</v>
      </c>
      <c r="P82" s="6">
        <f t="shared" si="14"/>
        <v>0.4868421052631579</v>
      </c>
      <c r="Q82" s="11">
        <v>2064.87</v>
      </c>
      <c r="R82" s="11">
        <v>2102.06</v>
      </c>
      <c r="S82" s="12">
        <f t="shared" si="8"/>
        <v>37.190000000000055</v>
      </c>
      <c r="T82" s="13">
        <f t="shared" si="9"/>
        <v>0.018010819083041574</v>
      </c>
      <c r="U82" s="6">
        <f t="shared" si="16"/>
        <v>0.6</v>
      </c>
      <c r="V82" s="6">
        <f t="shared" si="28"/>
        <v>0.52</v>
      </c>
      <c r="W82" s="3">
        <f t="shared" si="10"/>
        <v>0</v>
      </c>
      <c r="X82" s="3">
        <f t="shared" si="11"/>
        <v>0</v>
      </c>
      <c r="Y82" s="10">
        <f t="shared" si="12"/>
        <v>0</v>
      </c>
      <c r="Z82" s="13">
        <f t="shared" si="13"/>
        <v>0</v>
      </c>
    </row>
    <row r="83" spans="1:26" ht="14.25">
      <c r="A83" s="3">
        <f t="shared" si="19"/>
        <v>81</v>
      </c>
      <c r="B83" s="25">
        <f t="shared" si="20"/>
        <v>42107</v>
      </c>
      <c r="C83" s="5">
        <v>0.6857142857142857</v>
      </c>
      <c r="D83" s="5">
        <f t="shared" si="27"/>
        <v>0.3142857142857143</v>
      </c>
      <c r="E83" s="6">
        <f t="shared" si="1"/>
        <v>0.37142857142857144</v>
      </c>
      <c r="F83" s="5">
        <v>0.6910000000000001</v>
      </c>
      <c r="G83" s="5">
        <v>0.721</v>
      </c>
      <c r="H83" s="5">
        <v>0.627</v>
      </c>
      <c r="I83" s="13">
        <f t="shared" si="2"/>
        <v>0.09399999999999997</v>
      </c>
      <c r="J83" s="6">
        <f t="shared" si="29"/>
        <v>0</v>
      </c>
      <c r="L83" s="3">
        <f t="shared" si="4"/>
        <v>0</v>
      </c>
      <c r="M83" s="26">
        <f t="shared" si="30"/>
        <v>0</v>
      </c>
      <c r="N83" s="3">
        <f t="shared" si="31"/>
        <v>0</v>
      </c>
      <c r="O83" s="10">
        <f t="shared" si="7"/>
        <v>0</v>
      </c>
      <c r="P83" s="6">
        <f t="shared" si="14"/>
        <v>0.4805194805194805</v>
      </c>
      <c r="Q83" s="11">
        <v>2102.03</v>
      </c>
      <c r="R83" s="11">
        <v>2081.18</v>
      </c>
      <c r="S83" s="12">
        <f t="shared" si="8"/>
        <v>-20.850000000000364</v>
      </c>
      <c r="T83" s="13">
        <f t="shared" si="9"/>
        <v>-0.009918983078262614</v>
      </c>
      <c r="U83" s="6">
        <f t="shared" si="16"/>
        <v>0.6</v>
      </c>
      <c r="V83" s="6">
        <f t="shared" si="28"/>
        <v>0.52</v>
      </c>
      <c r="W83" s="3">
        <f t="shared" si="10"/>
        <v>1</v>
      </c>
      <c r="X83" s="3">
        <f t="shared" si="11"/>
        <v>1</v>
      </c>
      <c r="Y83" s="10">
        <f t="shared" si="12"/>
        <v>0</v>
      </c>
      <c r="Z83" s="13">
        <f t="shared" si="13"/>
        <v>-0.009918983078262614</v>
      </c>
    </row>
    <row r="84" spans="1:26" ht="14.25">
      <c r="A84" s="3">
        <f t="shared" si="19"/>
        <v>82</v>
      </c>
      <c r="B84" s="25">
        <f t="shared" si="20"/>
        <v>42114</v>
      </c>
      <c r="C84" s="5">
        <f>43/72</f>
        <v>0.5972222222222222</v>
      </c>
      <c r="D84" s="5">
        <f t="shared" si="27"/>
        <v>0.4027777777777778</v>
      </c>
      <c r="E84" s="6">
        <f t="shared" si="1"/>
        <v>0.19444444444444442</v>
      </c>
      <c r="F84" s="5">
        <v>0.651</v>
      </c>
      <c r="G84" s="5">
        <v>0.656</v>
      </c>
      <c r="H84" s="5">
        <v>0.645</v>
      </c>
      <c r="I84" s="13">
        <f t="shared" si="2"/>
        <v>0.01100000000000001</v>
      </c>
      <c r="J84" s="6">
        <f t="shared" si="29"/>
        <v>0</v>
      </c>
      <c r="L84" s="3">
        <f t="shared" si="4"/>
        <v>0</v>
      </c>
      <c r="M84" s="26">
        <f t="shared" si="30"/>
        <v>0</v>
      </c>
      <c r="N84" s="3">
        <f t="shared" si="31"/>
        <v>1</v>
      </c>
      <c r="O84" s="10">
        <f t="shared" si="7"/>
        <v>1</v>
      </c>
      <c r="P84" s="6">
        <f t="shared" si="14"/>
        <v>0.48717948717948717</v>
      </c>
      <c r="Q84" s="11">
        <v>2084.11</v>
      </c>
      <c r="R84" s="11">
        <v>2117.69</v>
      </c>
      <c r="S84" s="12">
        <f t="shared" si="8"/>
        <v>33.57999999999993</v>
      </c>
      <c r="T84" s="13">
        <f t="shared" si="9"/>
        <v>0.016112393299777806</v>
      </c>
      <c r="U84" s="6">
        <f t="shared" si="16"/>
        <v>0.7</v>
      </c>
      <c r="V84" s="6">
        <f t="shared" si="28"/>
        <v>0.52</v>
      </c>
      <c r="W84" s="3">
        <f t="shared" si="10"/>
        <v>1</v>
      </c>
      <c r="X84" s="3">
        <f t="shared" si="11"/>
        <v>1</v>
      </c>
      <c r="Y84" s="10">
        <f t="shared" si="12"/>
        <v>1</v>
      </c>
      <c r="Z84" s="13">
        <f t="shared" si="13"/>
        <v>0.016112393299777806</v>
      </c>
    </row>
    <row r="85" spans="1:26" ht="14.25">
      <c r="A85" s="3">
        <f t="shared" si="19"/>
        <v>83</v>
      </c>
      <c r="B85" s="25">
        <f t="shared" si="20"/>
        <v>42121</v>
      </c>
      <c r="C85" s="5">
        <f>32/59</f>
        <v>0.5423728813559322</v>
      </c>
      <c r="D85" s="5">
        <f t="shared" si="27"/>
        <v>0.4576271186440678</v>
      </c>
      <c r="E85" s="6">
        <f t="shared" si="1"/>
        <v>0.0847457627118644</v>
      </c>
      <c r="F85" s="5">
        <v>0.629</v>
      </c>
      <c r="G85" s="5">
        <v>0.6940000000000001</v>
      </c>
      <c r="H85" s="5">
        <v>0.552</v>
      </c>
      <c r="I85" s="13">
        <f t="shared" si="2"/>
        <v>0.14200000000000002</v>
      </c>
      <c r="J85" s="6">
        <f t="shared" si="29"/>
        <v>0</v>
      </c>
      <c r="L85" s="3">
        <f t="shared" si="4"/>
        <v>0</v>
      </c>
      <c r="M85" s="26">
        <f t="shared" si="30"/>
        <v>0</v>
      </c>
      <c r="N85" s="3">
        <f t="shared" si="31"/>
        <v>0</v>
      </c>
      <c r="O85" s="10">
        <f t="shared" si="7"/>
        <v>0</v>
      </c>
      <c r="P85" s="6">
        <f t="shared" si="14"/>
        <v>0.4810126582278481</v>
      </c>
      <c r="Q85" s="11">
        <v>2119.29</v>
      </c>
      <c r="R85" s="11">
        <v>2108.29</v>
      </c>
      <c r="S85" s="12">
        <f t="shared" si="8"/>
        <v>-11</v>
      </c>
      <c r="T85" s="13">
        <f t="shared" si="9"/>
        <v>-0.005190417545498729</v>
      </c>
      <c r="U85" s="6">
        <f t="shared" si="16"/>
        <v>0.6</v>
      </c>
      <c r="V85" s="6">
        <f t="shared" si="28"/>
        <v>0.52</v>
      </c>
      <c r="W85" s="3">
        <f t="shared" si="10"/>
        <v>0</v>
      </c>
      <c r="X85" s="3">
        <f t="shared" si="11"/>
        <v>1</v>
      </c>
      <c r="Y85" s="10">
        <f t="shared" si="12"/>
        <v>0</v>
      </c>
      <c r="Z85" s="13">
        <f t="shared" si="13"/>
        <v>0</v>
      </c>
    </row>
    <row r="86" spans="1:26" ht="14.25">
      <c r="A86" s="3">
        <f t="shared" si="19"/>
        <v>84</v>
      </c>
      <c r="B86" s="25">
        <f t="shared" si="20"/>
        <v>42128</v>
      </c>
      <c r="C86" s="5">
        <f>31/57</f>
        <v>0.543859649122807</v>
      </c>
      <c r="D86" s="5">
        <f t="shared" si="27"/>
        <v>0.45614035087719296</v>
      </c>
      <c r="E86" s="6">
        <f t="shared" si="1"/>
        <v>0.08771929824561409</v>
      </c>
      <c r="F86" s="5">
        <v>0.686</v>
      </c>
      <c r="G86" s="5">
        <v>0.677</v>
      </c>
      <c r="H86" s="5">
        <v>0.6960000000000001</v>
      </c>
      <c r="I86" s="13">
        <f t="shared" si="2"/>
        <v>-0.019000000000000017</v>
      </c>
      <c r="J86" s="6">
        <f t="shared" si="29"/>
        <v>0</v>
      </c>
      <c r="L86" s="3">
        <f t="shared" si="4"/>
        <v>0</v>
      </c>
      <c r="M86" s="26">
        <f t="shared" si="30"/>
        <v>0</v>
      </c>
      <c r="N86" s="3">
        <f t="shared" si="31"/>
        <v>1</v>
      </c>
      <c r="O86" s="10">
        <f t="shared" si="7"/>
        <v>1</v>
      </c>
      <c r="P86" s="6">
        <f t="shared" si="14"/>
        <v>0.4875</v>
      </c>
      <c r="Q86" s="11">
        <v>2110.23</v>
      </c>
      <c r="R86" s="11">
        <v>2116.1</v>
      </c>
      <c r="S86" s="12">
        <f t="shared" si="8"/>
        <v>5.869999999999891</v>
      </c>
      <c r="T86" s="13">
        <f t="shared" si="9"/>
        <v>0.0027816873042274494</v>
      </c>
      <c r="U86" s="6">
        <f t="shared" si="16"/>
        <v>0.6</v>
      </c>
      <c r="V86" s="6">
        <f t="shared" si="28"/>
        <v>0.52</v>
      </c>
      <c r="W86" s="3">
        <f t="shared" si="10"/>
        <v>0</v>
      </c>
      <c r="X86" s="3">
        <f t="shared" si="11"/>
        <v>0</v>
      </c>
      <c r="Y86" s="10">
        <f t="shared" si="12"/>
        <v>0</v>
      </c>
      <c r="Z86" s="13">
        <f t="shared" si="13"/>
        <v>0</v>
      </c>
    </row>
    <row r="87" spans="1:26" ht="14.25">
      <c r="A87" s="3">
        <f t="shared" si="19"/>
        <v>85</v>
      </c>
      <c r="B87" s="25">
        <f t="shared" si="20"/>
        <v>42135</v>
      </c>
      <c r="C87" s="5">
        <f>35/48</f>
        <v>0.7291666666666666</v>
      </c>
      <c r="D87" s="5">
        <f t="shared" si="27"/>
        <v>0.27083333333333337</v>
      </c>
      <c r="E87" s="6">
        <f t="shared" si="1"/>
        <v>0.45833333333333326</v>
      </c>
      <c r="F87" s="5">
        <v>0.65</v>
      </c>
      <c r="G87" s="5">
        <v>0.629</v>
      </c>
      <c r="H87" s="5">
        <v>0.708</v>
      </c>
      <c r="I87" s="13">
        <f t="shared" si="2"/>
        <v>-0.07899999999999996</v>
      </c>
      <c r="J87" s="6">
        <f t="shared" si="29"/>
        <v>0</v>
      </c>
      <c r="L87" s="3">
        <f t="shared" si="4"/>
        <v>0</v>
      </c>
      <c r="M87" s="26">
        <f t="shared" si="30"/>
        <v>0</v>
      </c>
      <c r="N87" s="3">
        <f t="shared" si="31"/>
        <v>1</v>
      </c>
      <c r="O87" s="10">
        <f t="shared" si="7"/>
        <v>1</v>
      </c>
      <c r="P87" s="6">
        <f t="shared" si="14"/>
        <v>0.49382716049382713</v>
      </c>
      <c r="Q87" s="11">
        <v>2115.56</v>
      </c>
      <c r="R87" s="11">
        <v>2122.73</v>
      </c>
      <c r="S87" s="12">
        <f t="shared" si="8"/>
        <v>7.170000000000073</v>
      </c>
      <c r="T87" s="13">
        <f t="shared" si="9"/>
        <v>0.0033891735521564374</v>
      </c>
      <c r="U87" s="6">
        <f t="shared" si="16"/>
        <v>0.7</v>
      </c>
      <c r="V87" s="6">
        <f t="shared" si="28"/>
        <v>0.54</v>
      </c>
      <c r="W87" s="3">
        <f t="shared" si="10"/>
        <v>1</v>
      </c>
      <c r="X87" s="3">
        <f t="shared" si="11"/>
        <v>0</v>
      </c>
      <c r="Y87" s="10">
        <f t="shared" si="12"/>
        <v>0</v>
      </c>
      <c r="Z87" s="13">
        <f t="shared" si="13"/>
        <v>0</v>
      </c>
    </row>
    <row r="88" spans="1:26" ht="14.25">
      <c r="A88" s="3">
        <f t="shared" si="19"/>
        <v>86</v>
      </c>
      <c r="B88" s="25">
        <f t="shared" si="20"/>
        <v>42142</v>
      </c>
      <c r="C88" s="5">
        <f>36/64</f>
        <v>0.5625</v>
      </c>
      <c r="D88" s="5">
        <f t="shared" si="27"/>
        <v>0.4375</v>
      </c>
      <c r="E88" s="6">
        <f t="shared" si="1"/>
        <v>0.125</v>
      </c>
      <c r="F88" s="5">
        <v>0.652</v>
      </c>
      <c r="G88" s="5">
        <v>0.65</v>
      </c>
      <c r="H88" s="5">
        <v>0.654</v>
      </c>
      <c r="I88" s="13">
        <f t="shared" si="2"/>
        <v>-0.0040000000000000036</v>
      </c>
      <c r="J88" s="6">
        <f t="shared" si="29"/>
        <v>0</v>
      </c>
      <c r="L88" s="3">
        <f t="shared" si="4"/>
        <v>0</v>
      </c>
      <c r="M88" s="26">
        <f t="shared" si="30"/>
        <v>0</v>
      </c>
      <c r="N88" s="3">
        <f t="shared" si="31"/>
        <v>1</v>
      </c>
      <c r="O88" s="10">
        <f t="shared" si="7"/>
        <v>1</v>
      </c>
      <c r="P88" s="6">
        <f t="shared" si="14"/>
        <v>0.5</v>
      </c>
      <c r="Q88" s="11">
        <v>2121.3</v>
      </c>
      <c r="R88" s="11">
        <v>2126.06</v>
      </c>
      <c r="S88" s="12">
        <f t="shared" si="8"/>
        <v>4.7599999999997635</v>
      </c>
      <c r="T88" s="13">
        <f t="shared" si="9"/>
        <v>0.00224390703813688</v>
      </c>
      <c r="U88" s="6">
        <f t="shared" si="16"/>
        <v>0.7</v>
      </c>
      <c r="V88" s="6">
        <f t="shared" si="28"/>
        <v>0.54</v>
      </c>
      <c r="W88" s="3">
        <f t="shared" si="10"/>
        <v>1</v>
      </c>
      <c r="X88" s="3">
        <f t="shared" si="11"/>
        <v>0</v>
      </c>
      <c r="Y88" s="10">
        <f t="shared" si="12"/>
        <v>0</v>
      </c>
      <c r="Z88" s="13">
        <f t="shared" si="13"/>
        <v>0</v>
      </c>
    </row>
    <row r="89" spans="1:26" ht="14.25">
      <c r="A89" s="3">
        <f t="shared" si="19"/>
        <v>87</v>
      </c>
      <c r="B89" s="25">
        <f t="shared" si="20"/>
        <v>42149</v>
      </c>
      <c r="C89" s="5">
        <f>32/61</f>
        <v>0.5245901639344263</v>
      </c>
      <c r="D89" s="5">
        <f t="shared" si="27"/>
        <v>0.47540983606557374</v>
      </c>
      <c r="E89" s="6">
        <f t="shared" si="1"/>
        <v>0.049180327868852514</v>
      </c>
      <c r="F89" s="5">
        <v>0.63</v>
      </c>
      <c r="G89" s="5">
        <v>0.594</v>
      </c>
      <c r="H89" s="5">
        <v>0.672</v>
      </c>
      <c r="I89" s="13">
        <f t="shared" si="2"/>
        <v>-0.07800000000000007</v>
      </c>
      <c r="J89" s="6">
        <f t="shared" si="29"/>
        <v>0</v>
      </c>
      <c r="L89" s="3">
        <f t="shared" si="4"/>
        <v>0</v>
      </c>
      <c r="M89" s="26">
        <f t="shared" si="30"/>
        <v>0</v>
      </c>
      <c r="N89" s="3">
        <f t="shared" si="31"/>
        <v>0</v>
      </c>
      <c r="O89" s="10">
        <f t="shared" si="7"/>
        <v>0</v>
      </c>
      <c r="P89" s="6">
        <f t="shared" si="14"/>
        <v>0.4939759036144578</v>
      </c>
      <c r="Q89" s="11">
        <v>2125.34</v>
      </c>
      <c r="R89" s="11">
        <v>2107.39</v>
      </c>
      <c r="S89" s="12">
        <f t="shared" si="8"/>
        <v>-17.950000000000273</v>
      </c>
      <c r="T89" s="13">
        <f t="shared" si="9"/>
        <v>-0.008445707510327888</v>
      </c>
      <c r="U89" s="6">
        <f t="shared" si="16"/>
        <v>0.6363636363636364</v>
      </c>
      <c r="V89" s="6">
        <f t="shared" si="28"/>
        <v>0.52</v>
      </c>
      <c r="W89" s="3">
        <f t="shared" si="10"/>
        <v>0</v>
      </c>
      <c r="X89" s="3">
        <f t="shared" si="11"/>
        <v>0</v>
      </c>
      <c r="Y89" s="10">
        <f t="shared" si="12"/>
        <v>0</v>
      </c>
      <c r="Z89" s="13">
        <f t="shared" si="13"/>
        <v>0</v>
      </c>
    </row>
    <row r="90" spans="1:26" ht="14.25">
      <c r="A90" s="3">
        <f t="shared" si="19"/>
        <v>88</v>
      </c>
      <c r="B90" s="25">
        <f t="shared" si="20"/>
        <v>42156</v>
      </c>
      <c r="C90" s="5">
        <f>26/69</f>
        <v>0.37681159420289856</v>
      </c>
      <c r="D90" s="5">
        <f t="shared" si="27"/>
        <v>0.6231884057971014</v>
      </c>
      <c r="E90" s="6">
        <f t="shared" si="1"/>
        <v>-0.24637681159420288</v>
      </c>
      <c r="F90" s="5">
        <v>0.607</v>
      </c>
      <c r="G90" s="5">
        <v>0.5650000000000001</v>
      </c>
      <c r="H90" s="5">
        <v>0.633</v>
      </c>
      <c r="I90" s="13">
        <f t="shared" si="2"/>
        <v>-0.06799999999999995</v>
      </c>
      <c r="J90" s="6">
        <f t="shared" si="29"/>
        <v>0</v>
      </c>
      <c r="L90" s="3">
        <f t="shared" si="4"/>
        <v>0</v>
      </c>
      <c r="M90" s="26">
        <f t="shared" si="30"/>
        <v>0</v>
      </c>
      <c r="N90" s="3">
        <f t="shared" si="31"/>
        <v>1</v>
      </c>
      <c r="O90" s="10">
        <f t="shared" si="7"/>
        <v>0</v>
      </c>
      <c r="P90" s="6">
        <f t="shared" si="14"/>
        <v>0.5</v>
      </c>
      <c r="Q90" s="11">
        <v>2108.64</v>
      </c>
      <c r="R90" s="11">
        <v>2092.83</v>
      </c>
      <c r="S90" s="12">
        <f t="shared" si="8"/>
        <v>-15.809999999999945</v>
      </c>
      <c r="T90" s="13">
        <f t="shared" si="9"/>
        <v>-0.007497723651263348</v>
      </c>
      <c r="U90" s="6">
        <f t="shared" si="16"/>
        <v>0.6363636363636364</v>
      </c>
      <c r="V90" s="6">
        <f t="shared" si="28"/>
        <v>0.54</v>
      </c>
      <c r="W90" s="3">
        <f t="shared" si="10"/>
        <v>0</v>
      </c>
      <c r="X90" s="3">
        <f t="shared" si="11"/>
        <v>0</v>
      </c>
      <c r="Y90" s="10">
        <f t="shared" si="12"/>
        <v>0</v>
      </c>
      <c r="Z90" s="13">
        <f t="shared" si="13"/>
        <v>0</v>
      </c>
    </row>
    <row r="91" spans="1:26" ht="14.25">
      <c r="A91" s="3">
        <f t="shared" si="19"/>
        <v>89</v>
      </c>
      <c r="B91" s="25">
        <f t="shared" si="20"/>
        <v>42163</v>
      </c>
      <c r="C91" s="5">
        <f>28/75</f>
        <v>0.37333333333333335</v>
      </c>
      <c r="D91" s="5">
        <f t="shared" si="27"/>
        <v>0.6266666666666667</v>
      </c>
      <c r="E91" s="6">
        <f t="shared" si="1"/>
        <v>-0.25333333333333335</v>
      </c>
      <c r="F91" s="5">
        <v>0.644</v>
      </c>
      <c r="G91" s="5">
        <v>0.607</v>
      </c>
      <c r="H91" s="5">
        <v>0.666</v>
      </c>
      <c r="I91" s="13">
        <f t="shared" si="2"/>
        <v>-0.05900000000000005</v>
      </c>
      <c r="J91" s="6">
        <f t="shared" si="29"/>
        <v>0</v>
      </c>
      <c r="L91" s="3">
        <f t="shared" si="4"/>
        <v>0</v>
      </c>
      <c r="M91" s="26">
        <f t="shared" si="30"/>
        <v>0</v>
      </c>
      <c r="N91" s="3">
        <f t="shared" si="31"/>
        <v>0</v>
      </c>
      <c r="O91" s="10">
        <f t="shared" si="7"/>
        <v>1</v>
      </c>
      <c r="P91" s="6">
        <f t="shared" si="14"/>
        <v>0.49411764705882355</v>
      </c>
      <c r="Q91" s="11">
        <v>2092.34</v>
      </c>
      <c r="R91" s="11">
        <v>2094.11</v>
      </c>
      <c r="S91" s="12">
        <f t="shared" si="8"/>
        <v>1.7699999999999818</v>
      </c>
      <c r="T91" s="13">
        <f t="shared" si="9"/>
        <v>0.0008459428200005648</v>
      </c>
      <c r="U91" s="6">
        <f t="shared" si="16"/>
        <v>0.6363636363636364</v>
      </c>
      <c r="V91" s="6">
        <f t="shared" si="28"/>
        <v>0.54</v>
      </c>
      <c r="W91" s="3">
        <f t="shared" si="10"/>
        <v>0</v>
      </c>
      <c r="X91" s="3">
        <f t="shared" si="11"/>
        <v>0</v>
      </c>
      <c r="Y91" s="10">
        <f t="shared" si="12"/>
        <v>0</v>
      </c>
      <c r="Z91" s="13">
        <f t="shared" si="13"/>
        <v>0</v>
      </c>
    </row>
    <row r="92" spans="1:26" ht="14.25">
      <c r="A92" s="3">
        <f t="shared" si="19"/>
        <v>90</v>
      </c>
      <c r="B92" s="25">
        <f t="shared" si="20"/>
        <v>42170</v>
      </c>
      <c r="C92" s="5">
        <f>41/81</f>
        <v>0.5061728395061729</v>
      </c>
      <c r="D92" s="5">
        <f t="shared" si="27"/>
        <v>0.49382716049382713</v>
      </c>
      <c r="E92" s="6">
        <f t="shared" si="1"/>
        <v>0.012345679012345734</v>
      </c>
      <c r="F92" s="5">
        <v>0.636</v>
      </c>
      <c r="G92" s="5">
        <v>0.61</v>
      </c>
      <c r="H92" s="5">
        <v>0.663</v>
      </c>
      <c r="I92" s="13">
        <f t="shared" si="2"/>
        <v>-0.05300000000000005</v>
      </c>
      <c r="J92" s="6">
        <f t="shared" si="29"/>
        <v>0</v>
      </c>
      <c r="L92" s="3">
        <f t="shared" si="4"/>
        <v>0</v>
      </c>
      <c r="M92" s="26">
        <f t="shared" si="30"/>
        <v>0</v>
      </c>
      <c r="N92" s="3">
        <f t="shared" si="31"/>
        <v>1</v>
      </c>
      <c r="O92" s="10">
        <f t="shared" si="7"/>
        <v>1</v>
      </c>
      <c r="P92" s="6">
        <f t="shared" si="14"/>
        <v>0.5</v>
      </c>
      <c r="Q92" s="11">
        <v>2091.34</v>
      </c>
      <c r="R92" s="11">
        <v>2109.99</v>
      </c>
      <c r="S92" s="12">
        <f t="shared" si="8"/>
        <v>18.649999999999636</v>
      </c>
      <c r="T92" s="13">
        <f t="shared" si="9"/>
        <v>0.008917727390094214</v>
      </c>
      <c r="U92" s="6">
        <f t="shared" si="16"/>
        <v>0.6363636363636364</v>
      </c>
      <c r="V92" s="6">
        <f t="shared" si="28"/>
        <v>0.56</v>
      </c>
      <c r="W92" s="3">
        <f t="shared" si="10"/>
        <v>0</v>
      </c>
      <c r="X92" s="3">
        <f t="shared" si="11"/>
        <v>0</v>
      </c>
      <c r="Y92" s="10">
        <f t="shared" si="12"/>
        <v>0</v>
      </c>
      <c r="Z92" s="13">
        <f t="shared" si="13"/>
        <v>0</v>
      </c>
    </row>
    <row r="93" spans="1:26" ht="14.25">
      <c r="A93" s="3">
        <f t="shared" si="19"/>
        <v>91</v>
      </c>
      <c r="B93" s="25">
        <f t="shared" si="20"/>
        <v>42177</v>
      </c>
      <c r="C93" s="5">
        <f>25/60</f>
        <v>0.4166666666666667</v>
      </c>
      <c r="D93" s="5">
        <f t="shared" si="27"/>
        <v>0.5833333333333333</v>
      </c>
      <c r="E93" s="6">
        <f t="shared" si="1"/>
        <v>-0.16666666666666657</v>
      </c>
      <c r="F93" s="5">
        <v>0.643</v>
      </c>
      <c r="G93" s="5">
        <v>0.64</v>
      </c>
      <c r="H93" s="5">
        <v>0.646</v>
      </c>
      <c r="I93" s="13">
        <f t="shared" si="2"/>
        <v>-0.006000000000000005</v>
      </c>
      <c r="J93" s="6">
        <f t="shared" si="29"/>
        <v>0</v>
      </c>
      <c r="L93" s="3">
        <f t="shared" si="4"/>
        <v>0</v>
      </c>
      <c r="M93" s="26">
        <f t="shared" si="30"/>
        <v>0</v>
      </c>
      <c r="N93" s="3">
        <f t="shared" si="31"/>
        <v>1</v>
      </c>
      <c r="O93" s="10">
        <f t="shared" si="7"/>
        <v>0</v>
      </c>
      <c r="P93" s="6">
        <f t="shared" si="14"/>
        <v>0.5057471264367817</v>
      </c>
      <c r="Q93" s="11">
        <v>2112.5</v>
      </c>
      <c r="R93" s="11">
        <v>2101.61</v>
      </c>
      <c r="S93" s="12">
        <f t="shared" si="8"/>
        <v>-10.889999999999873</v>
      </c>
      <c r="T93" s="13">
        <f t="shared" si="9"/>
        <v>-0.005155029585798756</v>
      </c>
      <c r="U93" s="6">
        <f t="shared" si="16"/>
        <v>0.6363636363636364</v>
      </c>
      <c r="V93" s="6">
        <f t="shared" si="28"/>
        <v>0.56</v>
      </c>
      <c r="W93" s="3">
        <f t="shared" si="10"/>
        <v>0</v>
      </c>
      <c r="X93" s="3">
        <f t="shared" si="11"/>
        <v>0</v>
      </c>
      <c r="Y93" s="10">
        <f t="shared" si="12"/>
        <v>0</v>
      </c>
      <c r="Z93" s="13">
        <f t="shared" si="13"/>
        <v>0</v>
      </c>
    </row>
    <row r="94" spans="1:26" ht="14.25">
      <c r="A94" s="3">
        <f t="shared" si="19"/>
        <v>92</v>
      </c>
      <c r="B94" s="25">
        <f t="shared" si="20"/>
        <v>42184</v>
      </c>
      <c r="C94" s="5">
        <f>40/73</f>
        <v>0.547945205479452</v>
      </c>
      <c r="D94" s="5">
        <f t="shared" si="27"/>
        <v>0.452054794520548</v>
      </c>
      <c r="E94" s="6">
        <f t="shared" si="1"/>
        <v>0.09589041095890405</v>
      </c>
      <c r="F94" s="5">
        <v>0.63</v>
      </c>
      <c r="G94" s="5">
        <v>0.608</v>
      </c>
      <c r="H94" s="5">
        <v>0.658</v>
      </c>
      <c r="I94" s="13">
        <f t="shared" si="2"/>
        <v>-0.050000000000000044</v>
      </c>
      <c r="J94" s="6">
        <f t="shared" si="29"/>
        <v>0</v>
      </c>
      <c r="L94" s="3">
        <f t="shared" si="4"/>
        <v>0</v>
      </c>
      <c r="M94" s="26">
        <f t="shared" si="30"/>
        <v>0</v>
      </c>
      <c r="N94" s="3">
        <f t="shared" si="31"/>
        <v>0</v>
      </c>
      <c r="O94" s="10">
        <f t="shared" si="7"/>
        <v>0</v>
      </c>
      <c r="P94" s="6">
        <f t="shared" si="14"/>
        <v>0.5</v>
      </c>
      <c r="Q94" s="11">
        <v>2098.63</v>
      </c>
      <c r="R94" s="11">
        <v>2076.78</v>
      </c>
      <c r="S94" s="12">
        <f t="shared" si="8"/>
        <v>-21.84999999999991</v>
      </c>
      <c r="T94" s="13">
        <f t="shared" si="9"/>
        <v>-0.0104115542044095</v>
      </c>
      <c r="U94" s="6">
        <f t="shared" si="16"/>
        <v>0.6363636363636364</v>
      </c>
      <c r="V94" s="6">
        <f t="shared" si="28"/>
        <v>0.56</v>
      </c>
      <c r="W94" s="3">
        <f t="shared" si="10"/>
        <v>0</v>
      </c>
      <c r="X94" s="3">
        <f t="shared" si="11"/>
        <v>0</v>
      </c>
      <c r="Y94" s="10">
        <f t="shared" si="12"/>
        <v>0</v>
      </c>
      <c r="Z94" s="13">
        <f t="shared" si="13"/>
        <v>0</v>
      </c>
    </row>
    <row r="95" spans="1:26" ht="14.25">
      <c r="A95" s="3">
        <f t="shared" si="19"/>
        <v>93</v>
      </c>
      <c r="B95" s="25">
        <f t="shared" si="20"/>
        <v>42191</v>
      </c>
      <c r="C95" s="5">
        <f>31/71</f>
        <v>0.43661971830985913</v>
      </c>
      <c r="D95" s="5">
        <f t="shared" si="27"/>
        <v>0.5633802816901409</v>
      </c>
      <c r="E95" s="6">
        <f t="shared" si="1"/>
        <v>-0.12676056338028174</v>
      </c>
      <c r="F95" s="5">
        <v>0.632</v>
      </c>
      <c r="G95" s="5">
        <v>0.581</v>
      </c>
      <c r="H95" s="5">
        <v>0.673</v>
      </c>
      <c r="I95" s="13">
        <f t="shared" si="2"/>
        <v>-0.09200000000000008</v>
      </c>
      <c r="J95" s="6">
        <f t="shared" si="29"/>
        <v>0</v>
      </c>
      <c r="L95" s="3">
        <f t="shared" si="4"/>
        <v>0</v>
      </c>
      <c r="M95" s="26">
        <f t="shared" si="30"/>
        <v>0</v>
      </c>
      <c r="N95" s="3">
        <f t="shared" si="31"/>
        <v>0</v>
      </c>
      <c r="O95" s="10">
        <f t="shared" si="7"/>
        <v>1</v>
      </c>
      <c r="P95" s="6">
        <f t="shared" si="14"/>
        <v>0.4943820224719101</v>
      </c>
      <c r="Q95" s="11">
        <v>2073.95</v>
      </c>
      <c r="R95" s="11">
        <v>2076.62</v>
      </c>
      <c r="S95" s="12">
        <f t="shared" si="8"/>
        <v>2.6700000000000728</v>
      </c>
      <c r="T95" s="13">
        <f t="shared" si="9"/>
        <v>0.0012873984425854398</v>
      </c>
      <c r="U95" s="6">
        <f t="shared" si="16"/>
        <v>0.5454545454545454</v>
      </c>
      <c r="V95" s="6">
        <f t="shared" si="28"/>
        <v>0.54</v>
      </c>
      <c r="W95" s="3">
        <f t="shared" si="10"/>
        <v>0</v>
      </c>
      <c r="X95" s="3">
        <f t="shared" si="11"/>
        <v>0</v>
      </c>
      <c r="Y95" s="10">
        <f t="shared" si="12"/>
        <v>0</v>
      </c>
      <c r="Z95" s="13">
        <f t="shared" si="13"/>
        <v>0</v>
      </c>
    </row>
    <row r="96" spans="1:26" ht="14.25">
      <c r="A96" s="3">
        <f t="shared" si="19"/>
        <v>94</v>
      </c>
      <c r="B96" s="25">
        <f t="shared" si="20"/>
        <v>42198</v>
      </c>
      <c r="C96" s="5">
        <f>38/60</f>
        <v>0.6333333333333333</v>
      </c>
      <c r="D96" s="5">
        <f t="shared" si="27"/>
        <v>0.3666666666666667</v>
      </c>
      <c r="E96" s="6">
        <f t="shared" si="1"/>
        <v>0.2666666666666666</v>
      </c>
      <c r="F96" s="5">
        <v>0.622</v>
      </c>
      <c r="G96" s="5">
        <v>0.626</v>
      </c>
      <c r="H96" s="5">
        <v>0.614</v>
      </c>
      <c r="I96" s="13">
        <f t="shared" si="2"/>
        <v>0.01200000000000001</v>
      </c>
      <c r="J96" s="6">
        <f t="shared" si="29"/>
        <v>0</v>
      </c>
      <c r="L96" s="3">
        <f t="shared" si="4"/>
        <v>0</v>
      </c>
      <c r="M96" s="26">
        <f t="shared" si="30"/>
        <v>0</v>
      </c>
      <c r="N96" s="3">
        <f t="shared" si="31"/>
        <v>1</v>
      </c>
      <c r="O96" s="10">
        <f t="shared" si="7"/>
        <v>1</v>
      </c>
      <c r="P96" s="6">
        <f t="shared" si="14"/>
        <v>0.5</v>
      </c>
      <c r="Q96" s="11">
        <v>2080.03</v>
      </c>
      <c r="R96" s="11">
        <v>2126.64</v>
      </c>
      <c r="S96" s="12">
        <f t="shared" si="8"/>
        <v>46.60999999999967</v>
      </c>
      <c r="T96" s="13">
        <f t="shared" si="9"/>
        <v>0.02240833064907702</v>
      </c>
      <c r="U96" s="6">
        <f t="shared" si="16"/>
        <v>0.6363636363636364</v>
      </c>
      <c r="V96" s="6">
        <f t="shared" si="28"/>
        <v>0.56</v>
      </c>
      <c r="W96" s="3">
        <f t="shared" si="10"/>
        <v>1</v>
      </c>
      <c r="X96" s="3">
        <f t="shared" si="11"/>
        <v>1</v>
      </c>
      <c r="Y96" s="10">
        <f t="shared" si="12"/>
        <v>1</v>
      </c>
      <c r="Z96" s="13">
        <f t="shared" si="13"/>
        <v>0.02240833064907702</v>
      </c>
    </row>
    <row r="97" spans="1:26" ht="14.25">
      <c r="A97" s="3">
        <f t="shared" si="19"/>
        <v>95</v>
      </c>
      <c r="B97" s="25">
        <f t="shared" si="20"/>
        <v>42205</v>
      </c>
      <c r="C97" s="5">
        <f>44/62</f>
        <v>0.7096774193548387</v>
      </c>
      <c r="D97" s="5">
        <f t="shared" si="27"/>
        <v>0.29032258064516125</v>
      </c>
      <c r="E97" s="6">
        <f t="shared" si="1"/>
        <v>0.4193548387096775</v>
      </c>
      <c r="F97" s="5">
        <v>0.621</v>
      </c>
      <c r="G97" s="5">
        <v>0.627</v>
      </c>
      <c r="H97" s="5">
        <v>0.606</v>
      </c>
      <c r="I97" s="13">
        <f t="shared" si="2"/>
        <v>0.02100000000000002</v>
      </c>
      <c r="J97" s="6">
        <f t="shared" si="29"/>
        <v>0</v>
      </c>
      <c r="L97" s="3">
        <f t="shared" si="4"/>
        <v>0</v>
      </c>
      <c r="M97" s="26">
        <f t="shared" si="30"/>
        <v>0</v>
      </c>
      <c r="N97" s="3">
        <f t="shared" si="31"/>
        <v>0</v>
      </c>
      <c r="O97" s="10">
        <f t="shared" si="7"/>
        <v>0</v>
      </c>
      <c r="P97" s="6">
        <f t="shared" si="14"/>
        <v>0.4945054945054945</v>
      </c>
      <c r="Q97" s="11">
        <v>2126.85</v>
      </c>
      <c r="R97" s="11">
        <v>2079.65</v>
      </c>
      <c r="S97" s="12">
        <f t="shared" si="8"/>
        <v>-47.19999999999982</v>
      </c>
      <c r="T97" s="13">
        <f t="shared" si="9"/>
        <v>-0.022192444225027537</v>
      </c>
      <c r="U97" s="6">
        <f t="shared" si="16"/>
        <v>0.5454545454545454</v>
      </c>
      <c r="V97" s="6">
        <f t="shared" si="28"/>
        <v>0.54</v>
      </c>
      <c r="W97" s="3">
        <f t="shared" si="10"/>
        <v>1</v>
      </c>
      <c r="X97" s="3">
        <f t="shared" si="11"/>
        <v>1</v>
      </c>
      <c r="Y97" s="10">
        <f t="shared" si="12"/>
        <v>0</v>
      </c>
      <c r="Z97" s="13">
        <f t="shared" si="13"/>
        <v>-0.022192444225027537</v>
      </c>
    </row>
    <row r="98" spans="1:26" ht="14.25">
      <c r="A98" s="3">
        <f t="shared" si="19"/>
        <v>96</v>
      </c>
      <c r="B98" s="25">
        <f t="shared" si="20"/>
        <v>42212</v>
      </c>
      <c r="C98" s="5">
        <f>22/60</f>
        <v>0.36666666666666664</v>
      </c>
      <c r="D98" s="5">
        <f t="shared" si="27"/>
        <v>0.6333333333333333</v>
      </c>
      <c r="E98" s="6">
        <f t="shared" si="1"/>
        <v>-0.26666666666666666</v>
      </c>
      <c r="F98" s="5">
        <v>0.602</v>
      </c>
      <c r="G98" s="5">
        <v>0.482</v>
      </c>
      <c r="H98" s="5">
        <v>0.671</v>
      </c>
      <c r="I98" s="13">
        <f t="shared" si="2"/>
        <v>-0.18900000000000006</v>
      </c>
      <c r="J98" s="6">
        <f t="shared" si="29"/>
        <v>0</v>
      </c>
      <c r="L98" s="3">
        <f t="shared" si="4"/>
        <v>0</v>
      </c>
      <c r="M98" s="26">
        <f t="shared" si="30"/>
        <v>0</v>
      </c>
      <c r="N98" s="3">
        <f t="shared" si="31"/>
        <v>0</v>
      </c>
      <c r="O98" s="10">
        <f t="shared" si="7"/>
        <v>1</v>
      </c>
      <c r="P98" s="6">
        <f t="shared" si="14"/>
        <v>0.4891304347826087</v>
      </c>
      <c r="Q98" s="11">
        <v>2078.19</v>
      </c>
      <c r="R98" s="11">
        <v>2103.84</v>
      </c>
      <c r="S98" s="12">
        <f t="shared" si="8"/>
        <v>25.65000000000009</v>
      </c>
      <c r="T98" s="13">
        <f t="shared" si="9"/>
        <v>0.012342471092633537</v>
      </c>
      <c r="U98" s="6">
        <f t="shared" si="16"/>
        <v>0.45454545454545453</v>
      </c>
      <c r="V98" s="6">
        <f t="shared" si="28"/>
        <v>0.54</v>
      </c>
      <c r="W98" s="3">
        <f t="shared" si="10"/>
        <v>0</v>
      </c>
      <c r="X98" s="3">
        <f t="shared" si="11"/>
        <v>0</v>
      </c>
      <c r="Y98" s="10">
        <f t="shared" si="12"/>
        <v>0</v>
      </c>
      <c r="Z98" s="13">
        <f t="shared" si="13"/>
        <v>0</v>
      </c>
    </row>
    <row r="99" spans="1:26" ht="14.25">
      <c r="A99" s="3">
        <f t="shared" si="19"/>
        <v>97</v>
      </c>
      <c r="B99" s="25">
        <f t="shared" si="20"/>
        <v>42219</v>
      </c>
      <c r="C99" s="5">
        <f>38/70</f>
        <v>0.5428571428571428</v>
      </c>
      <c r="D99" s="5">
        <f t="shared" si="27"/>
        <v>0.4571428571428572</v>
      </c>
      <c r="E99" s="6">
        <f t="shared" si="1"/>
        <v>0.08571428571428563</v>
      </c>
      <c r="F99" s="5">
        <v>0.644</v>
      </c>
      <c r="G99" s="5">
        <v>0.629</v>
      </c>
      <c r="H99" s="5">
        <v>0.663</v>
      </c>
      <c r="I99" s="13">
        <f t="shared" si="2"/>
        <v>-0.03400000000000003</v>
      </c>
      <c r="J99" s="6">
        <f t="shared" si="29"/>
        <v>0</v>
      </c>
      <c r="L99" s="3">
        <f t="shared" si="4"/>
        <v>0</v>
      </c>
      <c r="M99" s="26">
        <f t="shared" si="30"/>
        <v>0</v>
      </c>
      <c r="N99" s="3">
        <f t="shared" si="31"/>
        <v>0</v>
      </c>
      <c r="O99" s="10">
        <f t="shared" si="7"/>
        <v>0</v>
      </c>
      <c r="P99" s="6">
        <f t="shared" si="14"/>
        <v>0.4838709677419355</v>
      </c>
      <c r="Q99" s="11">
        <v>2104.49</v>
      </c>
      <c r="R99" s="11">
        <v>2077.57</v>
      </c>
      <c r="S99" s="12">
        <f t="shared" si="8"/>
        <v>-26.919999999999618</v>
      </c>
      <c r="T99" s="13">
        <f t="shared" si="9"/>
        <v>-0.012791697750998874</v>
      </c>
      <c r="U99" s="6">
        <f t="shared" si="16"/>
        <v>0.36363636363636365</v>
      </c>
      <c r="V99" s="6">
        <f t="shared" si="28"/>
        <v>0.52</v>
      </c>
      <c r="W99" s="3">
        <f t="shared" si="10"/>
        <v>0</v>
      </c>
      <c r="X99" s="3">
        <f t="shared" si="11"/>
        <v>0</v>
      </c>
      <c r="Y99" s="10">
        <f t="shared" si="12"/>
        <v>0</v>
      </c>
      <c r="Z99" s="13">
        <f t="shared" si="13"/>
        <v>0</v>
      </c>
    </row>
    <row r="100" spans="1:26" ht="14.25">
      <c r="A100" s="3">
        <f t="shared" si="19"/>
        <v>98</v>
      </c>
      <c r="B100" s="25">
        <f t="shared" si="20"/>
        <v>42226</v>
      </c>
      <c r="C100" s="5">
        <f>23/43</f>
        <v>0.5348837209302325</v>
      </c>
      <c r="D100" s="5">
        <f t="shared" si="27"/>
        <v>0.4651162790697675</v>
      </c>
      <c r="E100" s="6">
        <f t="shared" si="1"/>
        <v>0.06976744186046502</v>
      </c>
      <c r="F100" s="5">
        <v>0.7012</v>
      </c>
      <c r="G100" s="5">
        <v>0.6912999999999999</v>
      </c>
      <c r="H100" s="5">
        <v>0.7125</v>
      </c>
      <c r="I100" s="13">
        <f t="shared" si="2"/>
        <v>-0.021200000000000108</v>
      </c>
      <c r="J100" s="6">
        <f t="shared" si="29"/>
        <v>0</v>
      </c>
      <c r="L100" s="3">
        <f t="shared" si="4"/>
        <v>0</v>
      </c>
      <c r="M100" s="26">
        <f t="shared" si="30"/>
        <v>0</v>
      </c>
      <c r="N100" s="3">
        <f t="shared" si="31"/>
        <v>1</v>
      </c>
      <c r="O100" s="10">
        <f t="shared" si="7"/>
        <v>1</v>
      </c>
      <c r="P100" s="6">
        <f t="shared" si="14"/>
        <v>0.48936170212765956</v>
      </c>
      <c r="Q100" s="11">
        <v>2080.98</v>
      </c>
      <c r="R100" s="11">
        <v>2091.54</v>
      </c>
      <c r="S100" s="12">
        <f t="shared" si="8"/>
        <v>10.559999999999945</v>
      </c>
      <c r="T100" s="13">
        <f t="shared" si="9"/>
        <v>0.005074532191563564</v>
      </c>
      <c r="U100" s="6">
        <f t="shared" si="16"/>
        <v>0.45454545454545453</v>
      </c>
      <c r="V100" s="6">
        <f t="shared" si="28"/>
        <v>0.52</v>
      </c>
      <c r="W100" s="3">
        <f t="shared" si="10"/>
        <v>0</v>
      </c>
      <c r="X100" s="3">
        <f t="shared" si="11"/>
        <v>0</v>
      </c>
      <c r="Y100" s="10">
        <f t="shared" si="12"/>
        <v>0</v>
      </c>
      <c r="Z100" s="13">
        <f t="shared" si="13"/>
        <v>0</v>
      </c>
    </row>
    <row r="101" spans="1:26" ht="14.25">
      <c r="A101" s="3">
        <f t="shared" si="19"/>
        <v>99</v>
      </c>
      <c r="B101" s="25">
        <f t="shared" si="20"/>
        <v>42233</v>
      </c>
      <c r="C101" s="5">
        <f>34/50</f>
        <v>0.68</v>
      </c>
      <c r="D101" s="5">
        <f t="shared" si="27"/>
        <v>0.31999999999999995</v>
      </c>
      <c r="E101" s="6">
        <f t="shared" si="1"/>
        <v>0.3600000000000001</v>
      </c>
      <c r="F101" s="5">
        <v>0.69</v>
      </c>
      <c r="G101" s="5">
        <v>0.6631999999999999</v>
      </c>
      <c r="H101" s="5">
        <v>0.7469</v>
      </c>
      <c r="I101" s="13">
        <f t="shared" si="2"/>
        <v>-0.08370000000000011</v>
      </c>
      <c r="J101" s="6">
        <f t="shared" si="29"/>
        <v>0</v>
      </c>
      <c r="L101" s="3">
        <f t="shared" si="4"/>
        <v>0</v>
      </c>
      <c r="M101" s="26">
        <f t="shared" si="30"/>
        <v>0</v>
      </c>
      <c r="N101" s="3">
        <f t="shared" si="31"/>
        <v>0</v>
      </c>
      <c r="O101" s="10">
        <f t="shared" si="7"/>
        <v>0</v>
      </c>
      <c r="P101" s="6">
        <f t="shared" si="14"/>
        <v>0.4842105263157895</v>
      </c>
      <c r="Q101" s="11">
        <v>2089.7</v>
      </c>
      <c r="R101" s="11">
        <v>1970.89</v>
      </c>
      <c r="S101" s="12">
        <f t="shared" si="8"/>
        <v>-118.80999999999972</v>
      </c>
      <c r="T101" s="13">
        <f t="shared" si="9"/>
        <v>-0.05685505096425311</v>
      </c>
      <c r="U101" s="6">
        <f t="shared" si="16"/>
        <v>0.36363636363636365</v>
      </c>
      <c r="V101" s="6">
        <f t="shared" si="28"/>
        <v>0.5</v>
      </c>
      <c r="W101" s="3">
        <f t="shared" si="10"/>
        <v>1</v>
      </c>
      <c r="X101" s="3">
        <f t="shared" si="11"/>
        <v>0</v>
      </c>
      <c r="Y101" s="10">
        <f t="shared" si="12"/>
        <v>0</v>
      </c>
      <c r="Z101" s="13">
        <f t="shared" si="13"/>
        <v>0</v>
      </c>
    </row>
    <row r="102" spans="1:26" ht="14.25">
      <c r="A102" s="3">
        <f t="shared" si="19"/>
        <v>100</v>
      </c>
      <c r="B102" s="25">
        <f t="shared" si="20"/>
        <v>42240</v>
      </c>
      <c r="C102" s="5">
        <f>42/74</f>
        <v>0.5675675675675675</v>
      </c>
      <c r="D102" s="5">
        <f t="shared" si="27"/>
        <v>0.43243243243243246</v>
      </c>
      <c r="E102" s="6">
        <f t="shared" si="1"/>
        <v>0.1351351351351351</v>
      </c>
      <c r="F102" s="5">
        <v>0.6993</v>
      </c>
      <c r="G102" s="5">
        <v>0.6869</v>
      </c>
      <c r="H102" s="5">
        <v>0.7156</v>
      </c>
      <c r="I102" s="13">
        <f t="shared" si="2"/>
        <v>-0.02870000000000006</v>
      </c>
      <c r="J102" s="6">
        <f t="shared" si="29"/>
        <v>0</v>
      </c>
      <c r="L102" s="3">
        <f t="shared" si="4"/>
        <v>0</v>
      </c>
      <c r="M102" s="26">
        <f t="shared" si="30"/>
        <v>0</v>
      </c>
      <c r="N102" s="3">
        <f t="shared" si="31"/>
        <v>0</v>
      </c>
      <c r="O102" s="10">
        <f t="shared" si="7"/>
        <v>0</v>
      </c>
      <c r="P102" s="6">
        <f t="shared" si="14"/>
        <v>0.4791666666666667</v>
      </c>
      <c r="Q102" s="11">
        <v>2034.08</v>
      </c>
      <c r="R102" s="11">
        <v>1988.87</v>
      </c>
      <c r="S102" s="12">
        <f t="shared" si="8"/>
        <v>-45.210000000000036</v>
      </c>
      <c r="T102" s="13">
        <f t="shared" si="9"/>
        <v>-0.02222626445370882</v>
      </c>
      <c r="U102" s="6">
        <f t="shared" si="16"/>
        <v>0.36363636363636365</v>
      </c>
      <c r="V102" s="6">
        <f t="shared" si="28"/>
        <v>0.5</v>
      </c>
      <c r="W102" s="3">
        <f t="shared" si="10"/>
        <v>1</v>
      </c>
      <c r="X102" s="3">
        <f t="shared" si="11"/>
        <v>0</v>
      </c>
      <c r="Y102" s="10">
        <f t="shared" si="12"/>
        <v>0</v>
      </c>
      <c r="Z102" s="13">
        <f t="shared" si="13"/>
        <v>0</v>
      </c>
    </row>
    <row r="103" spans="1:26" ht="14.25">
      <c r="A103" s="3">
        <f t="shared" si="19"/>
        <v>101</v>
      </c>
      <c r="B103" s="25">
        <f t="shared" si="20"/>
        <v>42247</v>
      </c>
      <c r="C103" s="5">
        <f>20/52</f>
        <v>0.38461538461538464</v>
      </c>
      <c r="D103" s="5">
        <f t="shared" si="27"/>
        <v>0.6153846153846154</v>
      </c>
      <c r="E103" s="6">
        <f t="shared" si="1"/>
        <v>-0.23076923076923078</v>
      </c>
      <c r="F103" s="5">
        <v>0.6846</v>
      </c>
      <c r="G103" s="5">
        <v>0.665</v>
      </c>
      <c r="H103" s="5">
        <v>0.6969</v>
      </c>
      <c r="I103" s="13">
        <f t="shared" si="2"/>
        <v>-0.03189999999999993</v>
      </c>
      <c r="J103" s="6">
        <f t="shared" si="29"/>
        <v>0</v>
      </c>
      <c r="L103" s="3">
        <f t="shared" si="4"/>
        <v>0</v>
      </c>
      <c r="M103" s="26">
        <f t="shared" si="30"/>
        <v>0</v>
      </c>
      <c r="N103" s="3">
        <f t="shared" si="31"/>
        <v>1</v>
      </c>
      <c r="O103" s="10">
        <f t="shared" si="7"/>
        <v>0</v>
      </c>
      <c r="P103" s="6">
        <f t="shared" si="14"/>
        <v>0.4845360824742268</v>
      </c>
      <c r="Q103" s="11">
        <v>1986.73</v>
      </c>
      <c r="R103" s="11">
        <v>1921.22</v>
      </c>
      <c r="S103" s="12">
        <f t="shared" si="8"/>
        <v>-65.50999999999999</v>
      </c>
      <c r="T103" s="13">
        <f t="shared" si="9"/>
        <v>-0.032973781037181696</v>
      </c>
      <c r="U103" s="6">
        <f t="shared" si="16"/>
        <v>0.36363636363636365</v>
      </c>
      <c r="V103" s="6">
        <f t="shared" si="28"/>
        <v>0.52</v>
      </c>
      <c r="W103" s="3">
        <f t="shared" si="10"/>
        <v>0</v>
      </c>
      <c r="X103" s="3">
        <f t="shared" si="11"/>
        <v>0</v>
      </c>
      <c r="Y103" s="10">
        <f t="shared" si="12"/>
        <v>0</v>
      </c>
      <c r="Z103" s="13">
        <f t="shared" si="13"/>
        <v>0</v>
      </c>
    </row>
    <row r="104" spans="1:26" ht="14.25">
      <c r="A104" s="3">
        <f t="shared" si="19"/>
        <v>102</v>
      </c>
      <c r="B104" s="25">
        <f t="shared" si="20"/>
        <v>42254</v>
      </c>
      <c r="C104" s="5">
        <f>26/55</f>
        <v>0.4727272727272727</v>
      </c>
      <c r="D104" s="5">
        <f t="shared" si="27"/>
        <v>0.5272727272727273</v>
      </c>
      <c r="E104" s="6">
        <f t="shared" si="1"/>
        <v>-0.05454545454545462</v>
      </c>
      <c r="F104" s="5">
        <v>0.7009000000000001</v>
      </c>
      <c r="G104" s="5">
        <v>0.6923</v>
      </c>
      <c r="H104" s="5">
        <v>0.7086</v>
      </c>
      <c r="I104" s="13">
        <f t="shared" si="2"/>
        <v>-0.01629999999999998</v>
      </c>
      <c r="J104" s="6">
        <f t="shared" si="29"/>
        <v>0</v>
      </c>
      <c r="L104" s="3">
        <f t="shared" si="4"/>
        <v>0</v>
      </c>
      <c r="M104" s="26">
        <f t="shared" si="30"/>
        <v>0</v>
      </c>
      <c r="N104" s="3">
        <f t="shared" si="31"/>
        <v>0</v>
      </c>
      <c r="O104" s="10">
        <f t="shared" si="7"/>
        <v>1</v>
      </c>
      <c r="P104" s="6">
        <f t="shared" si="14"/>
        <v>0.47959183673469385</v>
      </c>
      <c r="Q104" s="11">
        <v>1927.3</v>
      </c>
      <c r="R104" s="11">
        <v>1961.05</v>
      </c>
      <c r="S104" s="12">
        <f t="shared" si="8"/>
        <v>33.75</v>
      </c>
      <c r="T104" s="13">
        <f t="shared" si="9"/>
        <v>0.017511544647953094</v>
      </c>
      <c r="U104" s="6">
        <f t="shared" si="16"/>
        <v>0.2727272727272727</v>
      </c>
      <c r="V104" s="6">
        <f t="shared" si="28"/>
        <v>0.52</v>
      </c>
      <c r="W104" s="3">
        <f t="shared" si="10"/>
        <v>0</v>
      </c>
      <c r="X104" s="3">
        <f t="shared" si="11"/>
        <v>0</v>
      </c>
      <c r="Y104" s="10">
        <f t="shared" si="12"/>
        <v>0</v>
      </c>
      <c r="Z104" s="13">
        <f t="shared" si="13"/>
        <v>0</v>
      </c>
    </row>
    <row r="105" spans="1:26" ht="14.25">
      <c r="A105" s="3">
        <f t="shared" si="19"/>
        <v>103</v>
      </c>
      <c r="B105" s="25">
        <f t="shared" si="20"/>
        <v>42261</v>
      </c>
      <c r="C105" s="5">
        <f>27/61</f>
        <v>0.4426229508196721</v>
      </c>
      <c r="D105" s="5">
        <f t="shared" si="27"/>
        <v>0.5573770491803278</v>
      </c>
      <c r="E105" s="6">
        <f t="shared" si="1"/>
        <v>-0.1147540983606557</v>
      </c>
      <c r="F105" s="5">
        <v>0.6656</v>
      </c>
      <c r="G105" s="5">
        <v>0.65</v>
      </c>
      <c r="H105" s="5">
        <v>0.6779000000000001</v>
      </c>
      <c r="I105" s="13">
        <f t="shared" si="2"/>
        <v>-0.027900000000000036</v>
      </c>
      <c r="J105" s="6">
        <f t="shared" si="29"/>
        <v>0</v>
      </c>
      <c r="L105" s="3">
        <f t="shared" si="4"/>
        <v>0</v>
      </c>
      <c r="M105" s="26">
        <f t="shared" si="30"/>
        <v>0</v>
      </c>
      <c r="N105" s="3">
        <f t="shared" si="31"/>
        <v>1</v>
      </c>
      <c r="O105" s="10">
        <f t="shared" si="7"/>
        <v>0</v>
      </c>
      <c r="P105" s="6">
        <f t="shared" si="14"/>
        <v>0.48484848484848486</v>
      </c>
      <c r="Q105" s="11">
        <v>1963.06</v>
      </c>
      <c r="R105" s="11">
        <v>1958.08</v>
      </c>
      <c r="S105" s="12">
        <f t="shared" si="8"/>
        <v>-4.980000000000018</v>
      </c>
      <c r="T105" s="13">
        <f t="shared" si="9"/>
        <v>-0.00253685572524529</v>
      </c>
      <c r="U105" s="6">
        <f t="shared" si="16"/>
        <v>0.36363636363636365</v>
      </c>
      <c r="V105" s="6">
        <f t="shared" si="28"/>
        <v>0.54</v>
      </c>
      <c r="W105" s="3">
        <f t="shared" si="10"/>
        <v>0</v>
      </c>
      <c r="X105" s="3">
        <f t="shared" si="11"/>
        <v>0</v>
      </c>
      <c r="Y105" s="10">
        <f t="shared" si="12"/>
        <v>0</v>
      </c>
      <c r="Z105" s="13">
        <f t="shared" si="13"/>
        <v>0</v>
      </c>
    </row>
    <row r="106" spans="1:26" ht="14.25">
      <c r="A106" s="3">
        <f t="shared" si="19"/>
        <v>104</v>
      </c>
      <c r="B106" s="25">
        <f t="shared" si="20"/>
        <v>42268</v>
      </c>
      <c r="C106" s="5">
        <f>14/48</f>
        <v>0.2916666666666667</v>
      </c>
      <c r="D106" s="5">
        <f t="shared" si="27"/>
        <v>0.7083333333333333</v>
      </c>
      <c r="E106" s="6">
        <f t="shared" si="1"/>
        <v>-0.4166666666666666</v>
      </c>
      <c r="F106" s="5">
        <v>0.6812999999999999</v>
      </c>
      <c r="G106" s="5">
        <v>0.6464</v>
      </c>
      <c r="H106" s="5">
        <v>0.6956</v>
      </c>
      <c r="I106" s="13">
        <f t="shared" si="2"/>
        <v>-0.04920000000000002</v>
      </c>
      <c r="J106" s="6">
        <f t="shared" si="29"/>
        <v>0</v>
      </c>
      <c r="L106" s="3">
        <f t="shared" si="4"/>
        <v>0</v>
      </c>
      <c r="M106" s="26">
        <f t="shared" si="30"/>
        <v>0</v>
      </c>
      <c r="N106" s="3">
        <f t="shared" si="31"/>
        <v>1</v>
      </c>
      <c r="O106" s="10">
        <f t="shared" si="7"/>
        <v>0</v>
      </c>
      <c r="P106" s="6">
        <f t="shared" si="14"/>
        <v>0.49</v>
      </c>
      <c r="Q106" s="11">
        <v>1960.84</v>
      </c>
      <c r="R106" s="11">
        <v>1931.34</v>
      </c>
      <c r="S106" s="12">
        <f t="shared" si="8"/>
        <v>-29.5</v>
      </c>
      <c r="T106" s="13">
        <f t="shared" si="9"/>
        <v>-0.015044572734134351</v>
      </c>
      <c r="U106" s="6">
        <f t="shared" si="16"/>
        <v>0.45454545454545453</v>
      </c>
      <c r="V106" s="6">
        <f t="shared" si="28"/>
        <v>0.54</v>
      </c>
      <c r="W106" s="3">
        <f t="shared" si="10"/>
        <v>0</v>
      </c>
      <c r="X106" s="3">
        <f t="shared" si="11"/>
        <v>0</v>
      </c>
      <c r="Y106" s="10">
        <f t="shared" si="12"/>
        <v>0</v>
      </c>
      <c r="Z106" s="13">
        <f t="shared" si="13"/>
        <v>0</v>
      </c>
    </row>
    <row r="107" spans="1:26" ht="14.25">
      <c r="A107" s="3">
        <f t="shared" si="19"/>
        <v>105</v>
      </c>
      <c r="B107" s="25">
        <f t="shared" si="20"/>
        <v>42275</v>
      </c>
      <c r="C107" s="5">
        <f>35/69</f>
        <v>0.5072463768115942</v>
      </c>
      <c r="D107" s="5">
        <f t="shared" si="27"/>
        <v>0.49275362318840576</v>
      </c>
      <c r="E107" s="6">
        <f t="shared" si="1"/>
        <v>0.01449275362318847</v>
      </c>
      <c r="F107" s="5">
        <v>0.6739</v>
      </c>
      <c r="G107" s="5">
        <v>0.6456999999999999</v>
      </c>
      <c r="H107" s="5">
        <v>0.7029000000000001</v>
      </c>
      <c r="I107" s="13">
        <f t="shared" si="2"/>
        <v>-0.05720000000000014</v>
      </c>
      <c r="J107" s="6">
        <f t="shared" si="29"/>
        <v>0</v>
      </c>
      <c r="L107" s="3">
        <f t="shared" si="4"/>
        <v>0</v>
      </c>
      <c r="M107" s="26">
        <f t="shared" si="30"/>
        <v>0</v>
      </c>
      <c r="N107" s="3">
        <f t="shared" si="31"/>
        <v>1</v>
      </c>
      <c r="O107" s="10">
        <f t="shared" si="7"/>
        <v>1</v>
      </c>
      <c r="P107" s="6">
        <f t="shared" si="14"/>
        <v>0.49504950495049505</v>
      </c>
      <c r="Q107" s="11">
        <v>1929.18</v>
      </c>
      <c r="R107" s="11">
        <v>1951.36</v>
      </c>
      <c r="S107" s="12">
        <f t="shared" si="8"/>
        <v>22.179999999999836</v>
      </c>
      <c r="T107" s="13">
        <f t="shared" si="9"/>
        <v>0.011497112762935463</v>
      </c>
      <c r="U107" s="6">
        <f t="shared" si="16"/>
        <v>0.45454545454545453</v>
      </c>
      <c r="V107" s="6">
        <f t="shared" si="28"/>
        <v>0.56</v>
      </c>
      <c r="W107" s="3">
        <f t="shared" si="10"/>
        <v>0</v>
      </c>
      <c r="X107" s="3">
        <f t="shared" si="11"/>
        <v>0</v>
      </c>
      <c r="Y107" s="10">
        <f t="shared" si="12"/>
        <v>0</v>
      </c>
      <c r="Z107" s="13">
        <f t="shared" si="13"/>
        <v>0</v>
      </c>
    </row>
    <row r="108" spans="1:26" ht="14.25">
      <c r="A108" s="3">
        <f t="shared" si="19"/>
        <v>106</v>
      </c>
      <c r="B108" s="25">
        <f t="shared" si="20"/>
        <v>42282</v>
      </c>
      <c r="C108" s="5">
        <f>27/50</f>
        <v>0.54</v>
      </c>
      <c r="D108" s="5">
        <f t="shared" si="27"/>
        <v>0.45999999999999996</v>
      </c>
      <c r="E108" s="6">
        <f t="shared" si="1"/>
        <v>0.08000000000000007</v>
      </c>
      <c r="F108" s="5">
        <v>0.7</v>
      </c>
      <c r="G108" s="5">
        <v>0.7037</v>
      </c>
      <c r="H108" s="5">
        <v>0.6957</v>
      </c>
      <c r="I108" s="13">
        <f t="shared" si="2"/>
        <v>0.008000000000000007</v>
      </c>
      <c r="J108" s="6">
        <f t="shared" si="29"/>
        <v>0</v>
      </c>
      <c r="L108" s="3">
        <f t="shared" si="4"/>
        <v>0</v>
      </c>
      <c r="M108" s="26">
        <f t="shared" si="30"/>
        <v>0</v>
      </c>
      <c r="N108" s="3">
        <f t="shared" si="31"/>
        <v>1</v>
      </c>
      <c r="O108" s="10">
        <f t="shared" si="7"/>
        <v>1</v>
      </c>
      <c r="P108" s="6">
        <f t="shared" si="14"/>
        <v>0.5</v>
      </c>
      <c r="Q108" s="11">
        <v>1954.33</v>
      </c>
      <c r="R108" s="11">
        <v>2014.89</v>
      </c>
      <c r="S108" s="12">
        <f t="shared" si="8"/>
        <v>60.56000000000017</v>
      </c>
      <c r="T108" s="13">
        <f t="shared" si="9"/>
        <v>0.03098760188913857</v>
      </c>
      <c r="U108" s="6">
        <f t="shared" si="16"/>
        <v>0.5454545454545454</v>
      </c>
      <c r="V108" s="6">
        <f t="shared" si="28"/>
        <v>0.58</v>
      </c>
      <c r="W108" s="3">
        <f t="shared" si="10"/>
        <v>0</v>
      </c>
      <c r="X108" s="3">
        <f t="shared" si="11"/>
        <v>1</v>
      </c>
      <c r="Y108" s="10">
        <f t="shared" si="12"/>
        <v>0</v>
      </c>
      <c r="Z108" s="13">
        <f t="shared" si="13"/>
        <v>0</v>
      </c>
    </row>
    <row r="109" spans="1:26" ht="14.25">
      <c r="A109" s="3">
        <f t="shared" si="19"/>
        <v>107</v>
      </c>
      <c r="B109" s="25">
        <f t="shared" si="20"/>
        <v>42289</v>
      </c>
      <c r="C109" s="5">
        <f>37/77</f>
        <v>0.4805194805194805</v>
      </c>
      <c r="D109" s="5">
        <f t="shared" si="27"/>
        <v>0.5194805194805194</v>
      </c>
      <c r="E109" s="6">
        <f t="shared" si="1"/>
        <v>-0.03896103896103892</v>
      </c>
      <c r="F109" s="5">
        <v>0.6695</v>
      </c>
      <c r="G109" s="5">
        <v>0.6729999999999999</v>
      </c>
      <c r="H109" s="5">
        <v>0.6663</v>
      </c>
      <c r="I109" s="13">
        <f t="shared" si="2"/>
        <v>0.006699999999999928</v>
      </c>
      <c r="J109" s="6">
        <f t="shared" si="29"/>
        <v>0</v>
      </c>
      <c r="K109" s="9" t="s">
        <v>129</v>
      </c>
      <c r="L109" s="3">
        <f t="shared" si="4"/>
        <v>0</v>
      </c>
      <c r="M109" s="26">
        <f t="shared" si="30"/>
        <v>0</v>
      </c>
      <c r="N109" s="3">
        <f t="shared" si="31"/>
        <v>0</v>
      </c>
      <c r="O109" s="10">
        <f t="shared" si="7"/>
        <v>1</v>
      </c>
      <c r="P109" s="6">
        <f t="shared" si="14"/>
        <v>0.49514563106796117</v>
      </c>
      <c r="Q109" s="11">
        <v>2015.65</v>
      </c>
      <c r="R109" s="11">
        <v>2033.11</v>
      </c>
      <c r="S109" s="12">
        <f t="shared" si="8"/>
        <v>17.45999999999981</v>
      </c>
      <c r="T109" s="13">
        <f t="shared" si="9"/>
        <v>0.008662218143030689</v>
      </c>
      <c r="U109" s="6">
        <f t="shared" si="16"/>
        <v>0.5454545454545454</v>
      </c>
      <c r="V109" s="6">
        <f t="shared" si="28"/>
        <v>0.56</v>
      </c>
      <c r="W109" s="3">
        <f t="shared" si="10"/>
        <v>0</v>
      </c>
      <c r="X109" s="3">
        <f t="shared" si="11"/>
        <v>1</v>
      </c>
      <c r="Y109" s="10">
        <f t="shared" si="12"/>
        <v>0</v>
      </c>
      <c r="Z109" s="13">
        <f t="shared" si="13"/>
        <v>0</v>
      </c>
    </row>
    <row r="110" spans="1:26" ht="14.25">
      <c r="A110" s="3">
        <f t="shared" si="19"/>
        <v>108</v>
      </c>
      <c r="B110" s="25">
        <f t="shared" si="20"/>
        <v>42296</v>
      </c>
      <c r="C110" s="5">
        <f>29/51</f>
        <v>0.5686274509803921</v>
      </c>
      <c r="D110" s="5">
        <f t="shared" si="27"/>
        <v>0.43137254901960786</v>
      </c>
      <c r="E110" s="6">
        <f t="shared" si="1"/>
        <v>0.13725490196078427</v>
      </c>
      <c r="F110" s="5">
        <v>0.6881999999999999</v>
      </c>
      <c r="G110" s="5">
        <v>0.6568999999999999</v>
      </c>
      <c r="H110" s="5">
        <v>0.7295</v>
      </c>
      <c r="I110" s="13">
        <f t="shared" si="2"/>
        <v>-0.07260000000000011</v>
      </c>
      <c r="J110" s="6">
        <f t="shared" si="29"/>
        <v>0</v>
      </c>
      <c r="K110" s="9" t="s">
        <v>130</v>
      </c>
      <c r="L110" s="3">
        <f t="shared" si="4"/>
        <v>0</v>
      </c>
      <c r="M110" s="26">
        <f t="shared" si="30"/>
        <v>0</v>
      </c>
      <c r="N110" s="3">
        <f t="shared" si="31"/>
        <v>1</v>
      </c>
      <c r="O110" s="10">
        <f t="shared" si="7"/>
        <v>1</v>
      </c>
      <c r="P110" s="6">
        <f t="shared" si="14"/>
        <v>0.5</v>
      </c>
      <c r="Q110" s="11">
        <v>2031.73</v>
      </c>
      <c r="R110" s="11">
        <v>2075.15</v>
      </c>
      <c r="S110" s="12">
        <f t="shared" si="8"/>
        <v>43.42000000000007</v>
      </c>
      <c r="T110" s="13">
        <f t="shared" si="9"/>
        <v>0.021370949880151435</v>
      </c>
      <c r="U110" s="6">
        <f t="shared" si="16"/>
        <v>0.6363636363636364</v>
      </c>
      <c r="V110" s="6">
        <f t="shared" si="28"/>
        <v>0.56</v>
      </c>
      <c r="W110" s="3">
        <f t="shared" si="10"/>
        <v>1</v>
      </c>
      <c r="X110" s="3">
        <f t="shared" si="11"/>
        <v>0</v>
      </c>
      <c r="Y110" s="10">
        <f t="shared" si="12"/>
        <v>0</v>
      </c>
      <c r="Z110" s="13">
        <f t="shared" si="13"/>
        <v>0</v>
      </c>
    </row>
    <row r="111" spans="1:26" ht="14.25">
      <c r="A111" s="3">
        <f t="shared" si="19"/>
        <v>109</v>
      </c>
      <c r="B111" s="25">
        <f t="shared" si="20"/>
        <v>42303</v>
      </c>
      <c r="C111" s="5">
        <f>28/52</f>
        <v>0.5384615384615384</v>
      </c>
      <c r="D111" s="5">
        <f t="shared" si="27"/>
        <v>0.46153846153846156</v>
      </c>
      <c r="E111" s="6">
        <f t="shared" si="1"/>
        <v>0.07692307692307687</v>
      </c>
      <c r="F111" s="5">
        <v>0.6808</v>
      </c>
      <c r="G111" s="5">
        <v>0.6607</v>
      </c>
      <c r="H111" s="5">
        <v>0.7042</v>
      </c>
      <c r="I111" s="13">
        <f t="shared" si="2"/>
        <v>-0.043500000000000094</v>
      </c>
      <c r="J111" s="6">
        <f t="shared" si="29"/>
        <v>0</v>
      </c>
      <c r="K111" s="9" t="s">
        <v>131</v>
      </c>
      <c r="L111" s="3">
        <f t="shared" si="4"/>
        <v>0</v>
      </c>
      <c r="M111" s="26">
        <f t="shared" si="30"/>
        <v>0</v>
      </c>
      <c r="N111" s="3">
        <f t="shared" si="31"/>
        <v>1</v>
      </c>
      <c r="O111" s="10">
        <f t="shared" si="7"/>
        <v>1</v>
      </c>
      <c r="P111" s="6">
        <f t="shared" si="14"/>
        <v>0.5047619047619047</v>
      </c>
      <c r="Q111" s="11">
        <v>2075.08</v>
      </c>
      <c r="R111" s="11">
        <v>2079.36</v>
      </c>
      <c r="S111" s="12">
        <f t="shared" si="8"/>
        <v>4.2800000000002</v>
      </c>
      <c r="T111" s="13">
        <f t="shared" si="9"/>
        <v>0.0020625710815969506</v>
      </c>
      <c r="U111" s="6">
        <f t="shared" si="16"/>
        <v>0.6363636363636364</v>
      </c>
      <c r="V111" s="6">
        <f t="shared" si="28"/>
        <v>0.56</v>
      </c>
      <c r="W111" s="3">
        <f t="shared" si="10"/>
        <v>0</v>
      </c>
      <c r="X111" s="3">
        <f t="shared" si="11"/>
        <v>0</v>
      </c>
      <c r="Y111" s="10">
        <f t="shared" si="12"/>
        <v>0</v>
      </c>
      <c r="Z111" s="13">
        <f t="shared" si="13"/>
        <v>0</v>
      </c>
    </row>
    <row r="112" spans="1:26" ht="14.25">
      <c r="A112" s="3">
        <f t="shared" si="19"/>
        <v>110</v>
      </c>
      <c r="B112" s="25">
        <f t="shared" si="20"/>
        <v>42310</v>
      </c>
      <c r="C112" s="5">
        <f>19/50</f>
        <v>0.38</v>
      </c>
      <c r="D112" s="5">
        <f t="shared" si="27"/>
        <v>0.62</v>
      </c>
      <c r="E112" s="6">
        <f t="shared" si="1"/>
        <v>-0.24</v>
      </c>
      <c r="F112" s="5">
        <v>0.695</v>
      </c>
      <c r="G112" s="5">
        <v>0.7132</v>
      </c>
      <c r="H112" s="5">
        <v>0.6839</v>
      </c>
      <c r="I112" s="13">
        <f t="shared" si="2"/>
        <v>0.029299999999999993</v>
      </c>
      <c r="J112" s="6">
        <f t="shared" si="29"/>
        <v>0</v>
      </c>
      <c r="K112" s="9" t="s">
        <v>132</v>
      </c>
      <c r="L112" s="3">
        <f t="shared" si="4"/>
        <v>0</v>
      </c>
      <c r="M112" s="26">
        <f t="shared" si="30"/>
        <v>0</v>
      </c>
      <c r="N112" s="3">
        <f t="shared" si="31"/>
        <v>0</v>
      </c>
      <c r="O112" s="10">
        <f t="shared" si="7"/>
        <v>1</v>
      </c>
      <c r="P112" s="6">
        <f t="shared" si="14"/>
        <v>0.5</v>
      </c>
      <c r="Q112" s="11">
        <v>2080.76</v>
      </c>
      <c r="R112" s="11">
        <v>2099.2</v>
      </c>
      <c r="S112" s="12">
        <f t="shared" si="8"/>
        <v>18.4399999999996</v>
      </c>
      <c r="T112" s="13">
        <f t="shared" si="9"/>
        <v>0.008862146523385492</v>
      </c>
      <c r="U112" s="6">
        <f t="shared" si="16"/>
        <v>0.6363636363636364</v>
      </c>
      <c r="V112" s="6">
        <f t="shared" si="28"/>
        <v>0.54</v>
      </c>
      <c r="W112" s="3">
        <f t="shared" si="10"/>
        <v>0</v>
      </c>
      <c r="X112" s="3">
        <f t="shared" si="11"/>
        <v>1</v>
      </c>
      <c r="Y112" s="10">
        <f t="shared" si="12"/>
        <v>0</v>
      </c>
      <c r="Z112" s="13">
        <f t="shared" si="13"/>
        <v>0</v>
      </c>
    </row>
    <row r="113" spans="1:26" ht="14.25">
      <c r="A113" s="3">
        <f t="shared" si="19"/>
        <v>111</v>
      </c>
      <c r="B113" s="25">
        <f t="shared" si="20"/>
        <v>42317</v>
      </c>
      <c r="C113" s="5">
        <f>30/58</f>
        <v>0.5172413793103449</v>
      </c>
      <c r="D113" s="5">
        <f t="shared" si="27"/>
        <v>0.48275862068965514</v>
      </c>
      <c r="E113" s="6">
        <f t="shared" si="1"/>
        <v>0.034482758620689724</v>
      </c>
      <c r="F113" s="5">
        <v>0.6888</v>
      </c>
      <c r="G113" s="5">
        <v>0.6783</v>
      </c>
      <c r="H113" s="5">
        <v>0.7</v>
      </c>
      <c r="I113" s="13">
        <f t="shared" si="2"/>
        <v>-0.02169999999999994</v>
      </c>
      <c r="J113" s="6">
        <f t="shared" si="29"/>
        <v>0</v>
      </c>
      <c r="K113" s="9" t="s">
        <v>133</v>
      </c>
      <c r="L113" s="3">
        <f t="shared" si="4"/>
        <v>0</v>
      </c>
      <c r="M113" s="26">
        <f t="shared" si="30"/>
        <v>0</v>
      </c>
      <c r="N113" s="3">
        <f t="shared" si="31"/>
        <v>0</v>
      </c>
      <c r="O113" s="10">
        <f t="shared" si="7"/>
        <v>0</v>
      </c>
      <c r="P113" s="6">
        <f t="shared" si="14"/>
        <v>0.4953271028037383</v>
      </c>
      <c r="Q113" s="11">
        <v>2096.56</v>
      </c>
      <c r="R113" s="11">
        <v>2023.04</v>
      </c>
      <c r="S113" s="12">
        <f t="shared" si="8"/>
        <v>-73.51999999999998</v>
      </c>
      <c r="T113" s="13">
        <f t="shared" si="9"/>
        <v>-0.03506696684092036</v>
      </c>
      <c r="U113" s="6">
        <f t="shared" si="16"/>
        <v>0.6363636363636364</v>
      </c>
      <c r="V113" s="6">
        <f t="shared" si="28"/>
        <v>0.54</v>
      </c>
      <c r="W113" s="3">
        <f t="shared" si="10"/>
        <v>0</v>
      </c>
      <c r="X113" s="3">
        <f t="shared" si="11"/>
        <v>0</v>
      </c>
      <c r="Y113" s="10">
        <f t="shared" si="12"/>
        <v>0</v>
      </c>
      <c r="Z113" s="13">
        <f t="shared" si="13"/>
        <v>0</v>
      </c>
    </row>
    <row r="114" spans="1:26" ht="14.25">
      <c r="A114" s="3">
        <f t="shared" si="19"/>
        <v>112</v>
      </c>
      <c r="B114" s="25">
        <f t="shared" si="20"/>
        <v>42324</v>
      </c>
      <c r="C114" s="5">
        <f>26/60</f>
        <v>0.43333333333333335</v>
      </c>
      <c r="D114" s="5">
        <f t="shared" si="27"/>
        <v>0.5666666666666667</v>
      </c>
      <c r="E114" s="6">
        <f t="shared" si="1"/>
        <v>-0.1333333333333333</v>
      </c>
      <c r="F114" s="5">
        <v>0.7058</v>
      </c>
      <c r="G114" s="5">
        <v>0.6808</v>
      </c>
      <c r="H114" s="5">
        <v>0.725</v>
      </c>
      <c r="I114" s="13">
        <f t="shared" si="2"/>
        <v>-0.04420000000000002</v>
      </c>
      <c r="J114" s="6">
        <f t="shared" si="29"/>
        <v>0</v>
      </c>
      <c r="K114" s="9" t="s">
        <v>134</v>
      </c>
      <c r="L114" s="3">
        <f t="shared" si="4"/>
        <v>0</v>
      </c>
      <c r="M114" s="26">
        <f t="shared" si="30"/>
        <v>0</v>
      </c>
      <c r="N114" s="3">
        <f t="shared" si="31"/>
        <v>0</v>
      </c>
      <c r="O114" s="10">
        <f t="shared" si="7"/>
        <v>1</v>
      </c>
      <c r="P114" s="6">
        <f t="shared" si="14"/>
        <v>0.49074074074074076</v>
      </c>
      <c r="Q114" s="11">
        <v>2022.08</v>
      </c>
      <c r="R114" s="11">
        <v>2089.17</v>
      </c>
      <c r="S114" s="12">
        <f t="shared" si="8"/>
        <v>67.09000000000015</v>
      </c>
      <c r="T114" s="13">
        <f t="shared" si="9"/>
        <v>0.03317870707390417</v>
      </c>
      <c r="U114" s="6">
        <f t="shared" si="16"/>
        <v>0.5454545454545454</v>
      </c>
      <c r="V114" s="6">
        <f t="shared" si="28"/>
        <v>0.52</v>
      </c>
      <c r="W114" s="3">
        <f t="shared" si="10"/>
        <v>0</v>
      </c>
      <c r="X114" s="3">
        <f t="shared" si="11"/>
        <v>0</v>
      </c>
      <c r="Y114" s="10">
        <f t="shared" si="12"/>
        <v>0</v>
      </c>
      <c r="Z114" s="13">
        <f t="shared" si="13"/>
        <v>0</v>
      </c>
    </row>
    <row r="115" spans="1:26" ht="14.25">
      <c r="A115" s="3">
        <f t="shared" si="19"/>
        <v>113</v>
      </c>
      <c r="B115" s="25">
        <f t="shared" si="20"/>
        <v>42331</v>
      </c>
      <c r="C115" s="5">
        <f>30/45</f>
        <v>0.6666666666666666</v>
      </c>
      <c r="D115" s="5">
        <f t="shared" si="27"/>
        <v>0.33333333333333337</v>
      </c>
      <c r="E115" s="6">
        <f t="shared" si="1"/>
        <v>0.33333333333333326</v>
      </c>
      <c r="F115" s="5">
        <v>0.6644</v>
      </c>
      <c r="G115" s="5">
        <v>0.6483</v>
      </c>
      <c r="H115" s="5">
        <v>0.6833</v>
      </c>
      <c r="I115" s="13">
        <f t="shared" si="2"/>
        <v>-0.03500000000000003</v>
      </c>
      <c r="J115" s="6">
        <f t="shared" si="29"/>
        <v>0</v>
      </c>
      <c r="K115" s="9" t="s">
        <v>135</v>
      </c>
      <c r="L115" s="3">
        <f t="shared" si="4"/>
        <v>0</v>
      </c>
      <c r="M115" s="26">
        <f t="shared" si="30"/>
        <v>0</v>
      </c>
      <c r="N115" s="3">
        <f t="shared" si="31"/>
        <v>1</v>
      </c>
      <c r="O115" s="10">
        <f t="shared" si="7"/>
        <v>1</v>
      </c>
      <c r="P115" s="6">
        <f t="shared" si="14"/>
        <v>0.4954128440366973</v>
      </c>
      <c r="Q115" s="11">
        <v>2089.41</v>
      </c>
      <c r="R115" s="11">
        <v>2090.11</v>
      </c>
      <c r="S115" s="12">
        <f t="shared" si="8"/>
        <v>0.7000000000002728</v>
      </c>
      <c r="T115" s="13">
        <f t="shared" si="9"/>
        <v>0.0003350228054811037</v>
      </c>
      <c r="U115" s="6">
        <f t="shared" si="16"/>
        <v>0.6363636363636364</v>
      </c>
      <c r="V115" s="6">
        <f t="shared" si="28"/>
        <v>0.52</v>
      </c>
      <c r="W115" s="3">
        <f t="shared" si="10"/>
        <v>1</v>
      </c>
      <c r="X115" s="3">
        <f t="shared" si="11"/>
        <v>0</v>
      </c>
      <c r="Y115" s="10">
        <f t="shared" si="12"/>
        <v>0</v>
      </c>
      <c r="Z115" s="13">
        <f t="shared" si="13"/>
        <v>0</v>
      </c>
    </row>
    <row r="116" spans="1:26" ht="14.25">
      <c r="A116" s="3">
        <f t="shared" si="19"/>
        <v>114</v>
      </c>
      <c r="B116" s="25">
        <f t="shared" si="20"/>
        <v>42338</v>
      </c>
      <c r="C116" s="5">
        <f>34/54</f>
        <v>0.6296296296296297</v>
      </c>
      <c r="D116" s="5">
        <f t="shared" si="27"/>
        <v>0.37037037037037035</v>
      </c>
      <c r="E116" s="6">
        <f t="shared" si="1"/>
        <v>0.2592592592592593</v>
      </c>
      <c r="F116" s="5">
        <v>0.6685</v>
      </c>
      <c r="G116" s="5">
        <v>0.6853</v>
      </c>
      <c r="H116" s="5">
        <v>0.64</v>
      </c>
      <c r="I116" s="13">
        <f t="shared" si="2"/>
        <v>0.04530000000000001</v>
      </c>
      <c r="J116" s="6">
        <f t="shared" si="29"/>
        <v>0</v>
      </c>
      <c r="K116" s="9" t="s">
        <v>136</v>
      </c>
      <c r="L116" s="3">
        <f t="shared" si="4"/>
        <v>0</v>
      </c>
      <c r="M116" s="26">
        <f t="shared" si="30"/>
        <v>0</v>
      </c>
      <c r="N116" s="3">
        <f t="shared" si="31"/>
        <v>1</v>
      </c>
      <c r="O116" s="10">
        <f t="shared" si="7"/>
        <v>1</v>
      </c>
      <c r="P116" s="6">
        <f t="shared" si="14"/>
        <v>0.5</v>
      </c>
      <c r="Q116" s="11">
        <v>2090.95</v>
      </c>
      <c r="R116" s="11">
        <v>2091.69</v>
      </c>
      <c r="S116" s="12">
        <f t="shared" si="8"/>
        <v>0.7400000000002365</v>
      </c>
      <c r="T116" s="13">
        <f t="shared" si="9"/>
        <v>0.00035390611922821516</v>
      </c>
      <c r="U116" s="6">
        <f t="shared" si="16"/>
        <v>0.6363636363636364</v>
      </c>
      <c r="V116" s="6">
        <f t="shared" si="28"/>
        <v>0.54</v>
      </c>
      <c r="W116" s="3">
        <f t="shared" si="10"/>
        <v>1</v>
      </c>
      <c r="X116" s="3">
        <f t="shared" si="11"/>
        <v>1</v>
      </c>
      <c r="Y116" s="10">
        <f t="shared" si="12"/>
        <v>1</v>
      </c>
      <c r="Z116" s="13">
        <f t="shared" si="13"/>
        <v>0.00035390611922821516</v>
      </c>
    </row>
    <row r="117" spans="1:26" ht="14.25">
      <c r="A117" s="3">
        <f t="shared" si="19"/>
        <v>115</v>
      </c>
      <c r="B117" s="25">
        <f t="shared" si="20"/>
        <v>42345</v>
      </c>
      <c r="C117" s="5">
        <f>29/47</f>
        <v>0.6170212765957447</v>
      </c>
      <c r="D117" s="5">
        <f t="shared" si="27"/>
        <v>0.3829787234042553</v>
      </c>
      <c r="E117" s="6">
        <f t="shared" si="1"/>
        <v>0.23404255319148937</v>
      </c>
      <c r="F117" s="5">
        <v>0.7</v>
      </c>
      <c r="G117" s="5">
        <v>0.6845</v>
      </c>
      <c r="H117" s="5">
        <v>0.725</v>
      </c>
      <c r="I117" s="13">
        <f t="shared" si="2"/>
        <v>-0.04049999999999998</v>
      </c>
      <c r="J117" s="6">
        <f t="shared" si="29"/>
        <v>0</v>
      </c>
      <c r="K117" s="9" t="s">
        <v>137</v>
      </c>
      <c r="L117" s="3">
        <f t="shared" si="4"/>
        <v>0</v>
      </c>
      <c r="M117" s="26">
        <f t="shared" si="30"/>
        <v>0</v>
      </c>
      <c r="N117" s="3">
        <f t="shared" si="31"/>
        <v>0</v>
      </c>
      <c r="O117" s="10">
        <f t="shared" si="7"/>
        <v>0</v>
      </c>
      <c r="P117" s="6">
        <f t="shared" si="14"/>
        <v>0.4954954954954955</v>
      </c>
      <c r="Q117" s="11">
        <v>2090.42</v>
      </c>
      <c r="R117" s="11">
        <v>2012.37</v>
      </c>
      <c r="S117" s="12">
        <f t="shared" si="8"/>
        <v>-78.05000000000018</v>
      </c>
      <c r="T117" s="13">
        <f t="shared" si="9"/>
        <v>-0.037336994479578355</v>
      </c>
      <c r="U117" s="6">
        <f t="shared" si="16"/>
        <v>0.5454545454545454</v>
      </c>
      <c r="V117" s="6">
        <f t="shared" si="28"/>
        <v>0.54</v>
      </c>
      <c r="W117" s="3">
        <f t="shared" si="10"/>
        <v>1</v>
      </c>
      <c r="X117" s="3">
        <f t="shared" si="11"/>
        <v>0</v>
      </c>
      <c r="Y117" s="10">
        <f t="shared" si="12"/>
        <v>0</v>
      </c>
      <c r="Z117" s="13">
        <f t="shared" si="13"/>
        <v>0</v>
      </c>
    </row>
    <row r="118" spans="1:26" ht="14.25">
      <c r="A118" s="3">
        <f t="shared" si="19"/>
        <v>116</v>
      </c>
      <c r="B118" s="25">
        <f t="shared" si="20"/>
        <v>42352</v>
      </c>
      <c r="C118" s="5">
        <f>24/44</f>
        <v>0.5454545454545454</v>
      </c>
      <c r="D118" s="5">
        <f t="shared" si="27"/>
        <v>0.4545454545454546</v>
      </c>
      <c r="E118" s="6">
        <f t="shared" si="1"/>
        <v>0.09090909090909083</v>
      </c>
      <c r="F118" s="5">
        <v>0.725</v>
      </c>
      <c r="G118" s="5">
        <v>0.6729</v>
      </c>
      <c r="H118" s="5">
        <v>0.7875</v>
      </c>
      <c r="I118" s="13">
        <f t="shared" si="2"/>
        <v>-0.11459999999999992</v>
      </c>
      <c r="J118" s="6">
        <f t="shared" si="29"/>
        <v>0</v>
      </c>
      <c r="K118" s="9" t="s">
        <v>138</v>
      </c>
      <c r="L118" s="3">
        <f t="shared" si="4"/>
        <v>0</v>
      </c>
      <c r="M118" s="26">
        <f t="shared" si="30"/>
        <v>0</v>
      </c>
      <c r="N118" s="3">
        <f t="shared" si="31"/>
        <v>0</v>
      </c>
      <c r="O118" s="10">
        <f t="shared" si="7"/>
        <v>0</v>
      </c>
      <c r="P118" s="6">
        <f t="shared" si="14"/>
        <v>0.49107142857142855</v>
      </c>
      <c r="Q118" s="11">
        <v>2013.37</v>
      </c>
      <c r="R118" s="11">
        <v>2005.55</v>
      </c>
      <c r="S118" s="12">
        <f t="shared" si="8"/>
        <v>-7.819999999999936</v>
      </c>
      <c r="T118" s="13">
        <f t="shared" si="9"/>
        <v>-0.0038840352245240253</v>
      </c>
      <c r="U118" s="6">
        <f t="shared" si="16"/>
        <v>0.45454545454545453</v>
      </c>
      <c r="V118" s="6">
        <f t="shared" si="28"/>
        <v>0.52</v>
      </c>
      <c r="W118" s="3">
        <f t="shared" si="10"/>
        <v>0</v>
      </c>
      <c r="X118" s="3">
        <f t="shared" si="11"/>
        <v>0</v>
      </c>
      <c r="Y118" s="10">
        <f t="shared" si="12"/>
        <v>0</v>
      </c>
      <c r="Z118" s="13">
        <f t="shared" si="13"/>
        <v>0</v>
      </c>
    </row>
    <row r="119" spans="1:26" ht="14.25">
      <c r="A119" s="3">
        <f t="shared" si="19"/>
        <v>117</v>
      </c>
      <c r="B119" s="25">
        <f t="shared" si="20"/>
        <v>42359</v>
      </c>
      <c r="C119" s="5">
        <f>33/47</f>
        <v>0.7021276595744681</v>
      </c>
      <c r="D119" s="5">
        <f t="shared" si="27"/>
        <v>0.2978723404255319</v>
      </c>
      <c r="E119" s="6">
        <f t="shared" si="1"/>
        <v>0.4042553191489362</v>
      </c>
      <c r="F119" s="5">
        <v>0.7340000000000001</v>
      </c>
      <c r="G119" s="5">
        <v>0.7015</v>
      </c>
      <c r="H119" s="5">
        <v>0.8107</v>
      </c>
      <c r="I119" s="13">
        <f t="shared" si="2"/>
        <v>-0.10919999999999996</v>
      </c>
      <c r="J119" s="6">
        <f t="shared" si="29"/>
        <v>0</v>
      </c>
      <c r="K119" s="9" t="s">
        <v>139</v>
      </c>
      <c r="L119" s="3">
        <f t="shared" si="4"/>
        <v>0</v>
      </c>
      <c r="M119" s="26">
        <f t="shared" si="30"/>
        <v>0</v>
      </c>
      <c r="N119" s="3">
        <f t="shared" si="31"/>
        <v>1</v>
      </c>
      <c r="O119" s="10">
        <f t="shared" si="7"/>
        <v>1</v>
      </c>
      <c r="P119" s="6">
        <f t="shared" si="14"/>
        <v>0.49557522123893805</v>
      </c>
      <c r="Q119" s="11">
        <v>2010.27</v>
      </c>
      <c r="R119" s="11">
        <v>2060.99</v>
      </c>
      <c r="S119" s="12">
        <f t="shared" si="8"/>
        <v>50.7199999999998</v>
      </c>
      <c r="T119" s="13">
        <f t="shared" si="9"/>
        <v>0.02523044168196302</v>
      </c>
      <c r="U119" s="6">
        <f t="shared" si="16"/>
        <v>0.45454545454545453</v>
      </c>
      <c r="V119" s="6">
        <f t="shared" si="28"/>
        <v>0.54</v>
      </c>
      <c r="W119" s="3">
        <f t="shared" si="10"/>
        <v>1</v>
      </c>
      <c r="X119" s="3">
        <f t="shared" si="11"/>
        <v>0</v>
      </c>
      <c r="Y119" s="10">
        <f t="shared" si="12"/>
        <v>0</v>
      </c>
      <c r="Z119" s="13">
        <f t="shared" si="13"/>
        <v>0</v>
      </c>
    </row>
    <row r="120" spans="1:26" ht="14.25">
      <c r="A120" s="3">
        <f t="shared" si="19"/>
        <v>118</v>
      </c>
      <c r="B120" s="25">
        <f t="shared" si="20"/>
        <v>42366</v>
      </c>
      <c r="C120" s="5">
        <f>32/46</f>
        <v>0.6956521739130435</v>
      </c>
      <c r="D120" s="5">
        <f t="shared" si="27"/>
        <v>0.30434782608695654</v>
      </c>
      <c r="E120" s="6">
        <f t="shared" si="1"/>
        <v>0.3913043478260869</v>
      </c>
      <c r="F120" s="5">
        <v>0.71087</v>
      </c>
      <c r="G120" s="5">
        <v>0.7109380000000001</v>
      </c>
      <c r="H120" s="5">
        <v>0.710714</v>
      </c>
      <c r="I120" s="13">
        <f t="shared" si="2"/>
        <v>0.000224000000000113</v>
      </c>
      <c r="J120" s="6">
        <f t="shared" si="29"/>
        <v>0</v>
      </c>
      <c r="K120" s="9" t="s">
        <v>139</v>
      </c>
      <c r="L120" s="3">
        <f t="shared" si="4"/>
        <v>0</v>
      </c>
      <c r="M120" s="26">
        <f t="shared" si="30"/>
        <v>0</v>
      </c>
      <c r="N120" s="3">
        <f t="shared" si="31"/>
        <v>0</v>
      </c>
      <c r="O120" s="10">
        <f t="shared" si="7"/>
        <v>0</v>
      </c>
      <c r="P120" s="6">
        <f t="shared" si="14"/>
        <v>0.49122807017543857</v>
      </c>
      <c r="Q120" s="11">
        <v>2057.77</v>
      </c>
      <c r="R120" s="11">
        <v>2043.94</v>
      </c>
      <c r="S120" s="12">
        <f t="shared" si="8"/>
        <v>-13.829999999999927</v>
      </c>
      <c r="T120" s="13">
        <f t="shared" si="9"/>
        <v>-0.006720867735461168</v>
      </c>
      <c r="U120" s="6">
        <f t="shared" si="16"/>
        <v>0.45454545454545453</v>
      </c>
      <c r="V120" s="6">
        <f t="shared" si="28"/>
        <v>0.52</v>
      </c>
      <c r="W120" s="3">
        <f t="shared" si="10"/>
        <v>1</v>
      </c>
      <c r="X120" s="3">
        <f t="shared" si="11"/>
        <v>1</v>
      </c>
      <c r="Y120" s="10">
        <f t="shared" si="12"/>
        <v>0</v>
      </c>
      <c r="Z120" s="13">
        <f t="shared" si="13"/>
        <v>-0.006720867735461168</v>
      </c>
    </row>
    <row r="121" spans="1:26" ht="14.25">
      <c r="A121" s="3">
        <f t="shared" si="19"/>
        <v>119</v>
      </c>
      <c r="B121" s="25">
        <f t="shared" si="20"/>
        <v>42373</v>
      </c>
      <c r="C121" s="5">
        <f>20/44</f>
        <v>0.45454545454545453</v>
      </c>
      <c r="D121" s="5">
        <f t="shared" si="27"/>
        <v>0.5454545454545454</v>
      </c>
      <c r="E121" s="6">
        <f t="shared" si="1"/>
        <v>-0.09090909090909088</v>
      </c>
      <c r="F121" s="5">
        <v>0.6931999999999999</v>
      </c>
      <c r="G121" s="5">
        <v>0.69</v>
      </c>
      <c r="H121" s="5">
        <v>0.6958</v>
      </c>
      <c r="I121" s="13">
        <f t="shared" si="2"/>
        <v>-0.005800000000000027</v>
      </c>
      <c r="J121" s="6">
        <f t="shared" si="29"/>
        <v>0</v>
      </c>
      <c r="K121" s="9" t="s">
        <v>140</v>
      </c>
      <c r="L121" s="3">
        <f t="shared" si="4"/>
        <v>0</v>
      </c>
      <c r="M121" s="26">
        <f t="shared" si="30"/>
        <v>0</v>
      </c>
      <c r="N121" s="3">
        <f t="shared" si="31"/>
        <v>1</v>
      </c>
      <c r="O121" s="10">
        <f t="shared" si="7"/>
        <v>0</v>
      </c>
      <c r="P121" s="6">
        <f t="shared" si="14"/>
        <v>0.4956521739130435</v>
      </c>
      <c r="Q121" s="11">
        <v>2038.2</v>
      </c>
      <c r="R121" s="11">
        <v>1922.03</v>
      </c>
      <c r="S121" s="12">
        <f t="shared" si="8"/>
        <v>-116.17000000000007</v>
      </c>
      <c r="T121" s="13">
        <f t="shared" si="9"/>
        <v>-0.056996369345500966</v>
      </c>
      <c r="U121" s="6">
        <f t="shared" si="16"/>
        <v>0.45454545454545453</v>
      </c>
      <c r="V121" s="6">
        <f t="shared" si="28"/>
        <v>0.54</v>
      </c>
      <c r="W121" s="3">
        <f t="shared" si="10"/>
        <v>0</v>
      </c>
      <c r="X121" s="3">
        <f t="shared" si="11"/>
        <v>0</v>
      </c>
      <c r="Y121" s="10">
        <f t="shared" si="12"/>
        <v>0</v>
      </c>
      <c r="Z121" s="13">
        <f t="shared" si="13"/>
        <v>0</v>
      </c>
    </row>
    <row r="122" spans="1:26" ht="14.25">
      <c r="A122" s="3">
        <f t="shared" si="19"/>
        <v>120</v>
      </c>
      <c r="B122" s="25">
        <f t="shared" si="20"/>
        <v>42380</v>
      </c>
      <c r="C122" s="5">
        <f>30/57</f>
        <v>0.5263157894736842</v>
      </c>
      <c r="D122" s="5">
        <f t="shared" si="27"/>
        <v>0.4736842105263158</v>
      </c>
      <c r="E122" s="6">
        <f t="shared" si="1"/>
        <v>0.05263157894736836</v>
      </c>
      <c r="F122" s="5">
        <v>0.6947</v>
      </c>
      <c r="G122" s="5">
        <v>0.6767</v>
      </c>
      <c r="H122" s="5">
        <v>0.7148</v>
      </c>
      <c r="I122" s="13">
        <f t="shared" si="2"/>
        <v>-0.03810000000000002</v>
      </c>
      <c r="J122" s="6">
        <f t="shared" si="29"/>
        <v>0</v>
      </c>
      <c r="K122" s="9" t="s">
        <v>138</v>
      </c>
      <c r="L122" s="3">
        <f t="shared" si="4"/>
        <v>0</v>
      </c>
      <c r="M122" s="26">
        <f t="shared" si="30"/>
        <v>0</v>
      </c>
      <c r="N122" s="3">
        <f t="shared" si="31"/>
        <v>0</v>
      </c>
      <c r="O122" s="10">
        <f t="shared" si="7"/>
        <v>0</v>
      </c>
      <c r="P122" s="6">
        <f t="shared" si="14"/>
        <v>0.49137931034482757</v>
      </c>
      <c r="Q122" s="11">
        <v>1926.12</v>
      </c>
      <c r="R122" s="11">
        <v>1880.33</v>
      </c>
      <c r="S122" s="12">
        <f t="shared" si="8"/>
        <v>-45.789999999999964</v>
      </c>
      <c r="T122" s="13">
        <f t="shared" si="9"/>
        <v>-0.023773181317882565</v>
      </c>
      <c r="U122" s="6">
        <f t="shared" si="16"/>
        <v>0.36363636363636365</v>
      </c>
      <c r="V122" s="6">
        <f t="shared" si="28"/>
        <v>0.52</v>
      </c>
      <c r="W122" s="3">
        <f t="shared" si="10"/>
        <v>0</v>
      </c>
      <c r="X122" s="3">
        <f t="shared" si="11"/>
        <v>0</v>
      </c>
      <c r="Y122" s="10">
        <f t="shared" si="12"/>
        <v>0</v>
      </c>
      <c r="Z122" s="13">
        <f t="shared" si="13"/>
        <v>0</v>
      </c>
    </row>
    <row r="123" spans="1:26" ht="14.25">
      <c r="A123" s="3">
        <f t="shared" si="19"/>
        <v>121</v>
      </c>
      <c r="B123" s="25">
        <f t="shared" si="20"/>
        <v>42387</v>
      </c>
      <c r="C123" s="5">
        <f>30/62</f>
        <v>0.4838709677419355</v>
      </c>
      <c r="D123" s="5">
        <f t="shared" si="27"/>
        <v>0.5161290322580645</v>
      </c>
      <c r="E123" s="6">
        <f t="shared" si="1"/>
        <v>-0.032258064516129004</v>
      </c>
      <c r="F123" s="5">
        <v>0.7040000000000001</v>
      </c>
      <c r="G123" s="5">
        <v>0.6733</v>
      </c>
      <c r="H123" s="5">
        <v>0.7328</v>
      </c>
      <c r="I123" s="13">
        <f t="shared" si="2"/>
        <v>-0.0595</v>
      </c>
      <c r="J123" s="6">
        <f t="shared" si="29"/>
        <v>0</v>
      </c>
      <c r="K123" s="9" t="s">
        <v>141</v>
      </c>
      <c r="L123" s="3">
        <f t="shared" si="4"/>
        <v>0</v>
      </c>
      <c r="M123" s="26">
        <f t="shared" si="30"/>
        <v>0</v>
      </c>
      <c r="N123" s="3">
        <f t="shared" si="31"/>
        <v>0</v>
      </c>
      <c r="O123" s="10">
        <f t="shared" si="7"/>
        <v>1</v>
      </c>
      <c r="P123" s="6">
        <f t="shared" si="14"/>
        <v>0.48717948717948717</v>
      </c>
      <c r="Q123" s="11">
        <v>1888.66</v>
      </c>
      <c r="R123" s="11">
        <v>1906.9</v>
      </c>
      <c r="S123" s="12">
        <f t="shared" si="8"/>
        <v>18.24000000000001</v>
      </c>
      <c r="T123" s="13">
        <f t="shared" si="9"/>
        <v>0.00965764086706978</v>
      </c>
      <c r="U123" s="6">
        <f t="shared" si="16"/>
        <v>0.36363636363636365</v>
      </c>
      <c r="V123" s="6">
        <f t="shared" si="28"/>
        <v>0.52</v>
      </c>
      <c r="W123" s="3">
        <f t="shared" si="10"/>
        <v>0</v>
      </c>
      <c r="X123" s="3">
        <f t="shared" si="11"/>
        <v>0</v>
      </c>
      <c r="Y123" s="10">
        <f t="shared" si="12"/>
        <v>0</v>
      </c>
      <c r="Z123" s="13">
        <f t="shared" si="13"/>
        <v>0</v>
      </c>
    </row>
    <row r="124" spans="1:26" ht="14.25">
      <c r="A124" s="3">
        <f t="shared" si="19"/>
        <v>122</v>
      </c>
      <c r="B124" s="25">
        <f t="shared" si="20"/>
        <v>42394</v>
      </c>
      <c r="C124" s="5">
        <f>39/64</f>
        <v>0.609375</v>
      </c>
      <c r="D124" s="5">
        <f t="shared" si="27"/>
        <v>0.390625</v>
      </c>
      <c r="E124" s="6">
        <f t="shared" si="1"/>
        <v>0.21875</v>
      </c>
      <c r="F124" s="5">
        <v>0.6938</v>
      </c>
      <c r="G124" s="5">
        <v>0.6962</v>
      </c>
      <c r="H124" s="5">
        <v>0.69</v>
      </c>
      <c r="I124" s="13">
        <f t="shared" si="2"/>
        <v>0.006200000000000094</v>
      </c>
      <c r="J124" s="6">
        <f t="shared" si="29"/>
        <v>0</v>
      </c>
      <c r="K124" s="9" t="s">
        <v>134</v>
      </c>
      <c r="L124" s="3">
        <f t="shared" si="4"/>
        <v>0</v>
      </c>
      <c r="M124" s="26">
        <f t="shared" si="30"/>
        <v>0</v>
      </c>
      <c r="N124" s="3">
        <f t="shared" si="31"/>
        <v>1</v>
      </c>
      <c r="O124" s="10">
        <f t="shared" si="7"/>
        <v>1</v>
      </c>
      <c r="P124" s="6">
        <f t="shared" si="14"/>
        <v>0.4915254237288136</v>
      </c>
      <c r="Q124" s="11">
        <v>1906.28</v>
      </c>
      <c r="R124" s="11">
        <v>1940.24</v>
      </c>
      <c r="S124" s="12">
        <f t="shared" si="8"/>
        <v>33.960000000000036</v>
      </c>
      <c r="T124" s="13">
        <f t="shared" si="9"/>
        <v>0.01781480160312233</v>
      </c>
      <c r="U124" s="6">
        <f t="shared" si="16"/>
        <v>0.45454545454545453</v>
      </c>
      <c r="V124" s="6">
        <f t="shared" si="28"/>
        <v>0.54</v>
      </c>
      <c r="W124" s="3">
        <f t="shared" si="10"/>
        <v>1</v>
      </c>
      <c r="X124" s="3">
        <f t="shared" si="11"/>
        <v>1</v>
      </c>
      <c r="Y124" s="10">
        <f t="shared" si="12"/>
        <v>1</v>
      </c>
      <c r="Z124" s="13">
        <f t="shared" si="13"/>
        <v>0.01781480160312233</v>
      </c>
    </row>
    <row r="125" spans="1:26" ht="14.25">
      <c r="A125" s="3">
        <f t="shared" si="19"/>
        <v>123</v>
      </c>
      <c r="B125" s="25">
        <f t="shared" si="20"/>
        <v>42401</v>
      </c>
      <c r="C125" s="5">
        <f>48/76</f>
        <v>0.631578947368421</v>
      </c>
      <c r="D125" s="5">
        <f t="shared" si="27"/>
        <v>0.368421052631579</v>
      </c>
      <c r="E125" s="6">
        <f t="shared" si="1"/>
        <v>0.26315789473684204</v>
      </c>
      <c r="F125" s="5">
        <v>0.6855</v>
      </c>
      <c r="G125" s="5">
        <v>0.675</v>
      </c>
      <c r="H125" s="5">
        <v>0.7036</v>
      </c>
      <c r="I125" s="13">
        <f t="shared" si="2"/>
        <v>-0.02859999999999996</v>
      </c>
      <c r="J125" s="6">
        <f t="shared" si="29"/>
        <v>0</v>
      </c>
      <c r="K125" s="9" t="s">
        <v>142</v>
      </c>
      <c r="L125" s="3">
        <f t="shared" si="4"/>
        <v>0</v>
      </c>
      <c r="M125" s="26">
        <f t="shared" si="30"/>
        <v>0</v>
      </c>
      <c r="N125" s="3">
        <f t="shared" si="31"/>
        <v>0</v>
      </c>
      <c r="O125" s="10">
        <f t="shared" si="7"/>
        <v>0</v>
      </c>
      <c r="P125" s="6">
        <f t="shared" si="14"/>
        <v>0.48739495798319327</v>
      </c>
      <c r="Q125" s="11">
        <v>1936.94</v>
      </c>
      <c r="R125" s="11">
        <v>1880.05</v>
      </c>
      <c r="S125" s="12">
        <f t="shared" si="8"/>
        <v>-56.8900000000001</v>
      </c>
      <c r="T125" s="13">
        <f t="shared" si="9"/>
        <v>-0.029371069831796597</v>
      </c>
      <c r="U125" s="6">
        <f t="shared" si="16"/>
        <v>0.45454545454545453</v>
      </c>
      <c r="V125" s="6">
        <f t="shared" si="28"/>
        <v>0.52</v>
      </c>
      <c r="W125" s="3">
        <f t="shared" si="10"/>
        <v>1</v>
      </c>
      <c r="X125" s="3">
        <f t="shared" si="11"/>
        <v>0</v>
      </c>
      <c r="Y125" s="10">
        <f t="shared" si="12"/>
        <v>0</v>
      </c>
      <c r="Z125" s="13">
        <f t="shared" si="13"/>
        <v>0</v>
      </c>
    </row>
    <row r="126" spans="1:26" ht="14.25">
      <c r="A126" s="3">
        <f t="shared" si="19"/>
        <v>124</v>
      </c>
      <c r="B126" s="25">
        <f t="shared" si="20"/>
        <v>42408</v>
      </c>
      <c r="C126" s="5">
        <f>26/71</f>
        <v>0.36619718309859156</v>
      </c>
      <c r="D126" s="5">
        <f t="shared" si="27"/>
        <v>0.6338028169014085</v>
      </c>
      <c r="E126" s="6">
        <f t="shared" si="1"/>
        <v>-0.26760563380281693</v>
      </c>
      <c r="F126" s="5">
        <v>0.6901</v>
      </c>
      <c r="G126" s="5">
        <v>0.6635</v>
      </c>
      <c r="H126" s="5">
        <v>0.7056</v>
      </c>
      <c r="I126" s="13">
        <f t="shared" si="2"/>
        <v>-0.042100000000000026</v>
      </c>
      <c r="J126" s="6">
        <f t="shared" si="29"/>
        <v>0</v>
      </c>
      <c r="K126" s="9" t="s">
        <v>129</v>
      </c>
      <c r="L126" s="3">
        <f t="shared" si="4"/>
        <v>0</v>
      </c>
      <c r="M126" s="26">
        <f t="shared" si="30"/>
        <v>0</v>
      </c>
      <c r="N126" s="3">
        <f t="shared" si="31"/>
        <v>1</v>
      </c>
      <c r="O126" s="10">
        <f t="shared" si="7"/>
        <v>0</v>
      </c>
      <c r="P126" s="6">
        <f t="shared" si="14"/>
        <v>0.49166666666666664</v>
      </c>
      <c r="Q126" s="11">
        <v>1873.25</v>
      </c>
      <c r="R126" s="11">
        <v>1864.78</v>
      </c>
      <c r="S126" s="12">
        <f t="shared" si="8"/>
        <v>-8.470000000000027</v>
      </c>
      <c r="T126" s="13">
        <f t="shared" si="9"/>
        <v>-0.004521553449886575</v>
      </c>
      <c r="U126" s="6">
        <f t="shared" si="16"/>
        <v>0.45454545454545453</v>
      </c>
      <c r="V126" s="6">
        <f t="shared" si="28"/>
        <v>0.52</v>
      </c>
      <c r="W126" s="3">
        <f t="shared" si="10"/>
        <v>0</v>
      </c>
      <c r="X126" s="3">
        <f t="shared" si="11"/>
        <v>0</v>
      </c>
      <c r="Y126" s="10">
        <f t="shared" si="12"/>
        <v>0</v>
      </c>
      <c r="Z126" s="13">
        <f t="shared" si="13"/>
        <v>0</v>
      </c>
    </row>
    <row r="127" spans="1:26" ht="14.25">
      <c r="A127" s="3">
        <f t="shared" si="19"/>
        <v>125</v>
      </c>
      <c r="B127" s="25">
        <f t="shared" si="20"/>
        <v>42415</v>
      </c>
      <c r="C127" s="5">
        <f>46/69</f>
        <v>0.6666666666666666</v>
      </c>
      <c r="D127" s="5">
        <f t="shared" si="27"/>
        <v>0.33333333333333337</v>
      </c>
      <c r="E127" s="6">
        <f t="shared" si="1"/>
        <v>0.33333333333333326</v>
      </c>
      <c r="F127" s="5">
        <v>0.6877</v>
      </c>
      <c r="G127" s="5">
        <v>0.6772</v>
      </c>
      <c r="H127" s="5">
        <v>0.7087</v>
      </c>
      <c r="I127" s="13">
        <f t="shared" si="2"/>
        <v>-0.03149999999999997</v>
      </c>
      <c r="J127" s="6">
        <f t="shared" si="29"/>
        <v>0</v>
      </c>
      <c r="K127" s="9" t="s">
        <v>142</v>
      </c>
      <c r="L127" s="3">
        <f t="shared" si="4"/>
        <v>0</v>
      </c>
      <c r="M127" s="26">
        <f t="shared" si="30"/>
        <v>0</v>
      </c>
      <c r="N127" s="3">
        <f t="shared" si="31"/>
        <v>1</v>
      </c>
      <c r="O127" s="10">
        <f t="shared" si="7"/>
        <v>1</v>
      </c>
      <c r="P127" s="6">
        <f t="shared" si="14"/>
        <v>0.49586776859504134</v>
      </c>
      <c r="Q127" s="11">
        <v>1871.44</v>
      </c>
      <c r="R127" s="11">
        <v>1917.78</v>
      </c>
      <c r="S127" s="12">
        <f t="shared" si="8"/>
        <v>46.33999999999992</v>
      </c>
      <c r="T127" s="13">
        <f t="shared" si="9"/>
        <v>0.024761680844697088</v>
      </c>
      <c r="U127" s="6">
        <f t="shared" si="16"/>
        <v>0.45454545454545453</v>
      </c>
      <c r="V127" s="6">
        <f t="shared" si="28"/>
        <v>0.54</v>
      </c>
      <c r="W127" s="3">
        <f t="shared" si="10"/>
        <v>1</v>
      </c>
      <c r="X127" s="3">
        <f t="shared" si="11"/>
        <v>0</v>
      </c>
      <c r="Y127" s="10">
        <f t="shared" si="12"/>
        <v>0</v>
      </c>
      <c r="Z127" s="13">
        <f t="shared" si="13"/>
        <v>0</v>
      </c>
    </row>
    <row r="128" spans="1:26" ht="14.25">
      <c r="A128" s="3">
        <f t="shared" si="19"/>
        <v>126</v>
      </c>
      <c r="B128" s="25">
        <f t="shared" si="20"/>
        <v>42422</v>
      </c>
      <c r="C128" s="5">
        <f>38/67</f>
        <v>0.5671641791044776</v>
      </c>
      <c r="D128" s="5">
        <f t="shared" si="27"/>
        <v>0.4328358208955224</v>
      </c>
      <c r="E128" s="6">
        <f t="shared" si="1"/>
        <v>0.13432835820895517</v>
      </c>
      <c r="F128" s="5">
        <v>0.6843</v>
      </c>
      <c r="G128" s="5">
        <v>0.6553</v>
      </c>
      <c r="H128" s="5">
        <v>0.7223999999999999</v>
      </c>
      <c r="I128" s="13">
        <f t="shared" si="2"/>
        <v>-0.06709999999999994</v>
      </c>
      <c r="J128" s="6">
        <f t="shared" si="29"/>
        <v>0</v>
      </c>
      <c r="K128" s="9" t="s">
        <v>142</v>
      </c>
      <c r="L128" s="3">
        <f t="shared" si="4"/>
        <v>0</v>
      </c>
      <c r="M128" s="26">
        <f t="shared" si="30"/>
        <v>0</v>
      </c>
      <c r="N128" s="3">
        <f t="shared" si="31"/>
        <v>1</v>
      </c>
      <c r="O128" s="10">
        <f t="shared" si="7"/>
        <v>1</v>
      </c>
      <c r="P128" s="6">
        <f t="shared" si="14"/>
        <v>0.5</v>
      </c>
      <c r="Q128" s="11">
        <v>1924.44</v>
      </c>
      <c r="R128" s="11">
        <v>1948.05</v>
      </c>
      <c r="S128" s="12">
        <f t="shared" si="8"/>
        <v>23.6099999999999</v>
      </c>
      <c r="T128" s="13">
        <f t="shared" si="9"/>
        <v>0.012268504084304993</v>
      </c>
      <c r="U128" s="6">
        <f t="shared" si="16"/>
        <v>0.5454545454545454</v>
      </c>
      <c r="V128" s="6">
        <f t="shared" si="28"/>
        <v>0.54</v>
      </c>
      <c r="W128" s="3">
        <f t="shared" si="10"/>
        <v>1</v>
      </c>
      <c r="X128" s="3">
        <f t="shared" si="11"/>
        <v>0</v>
      </c>
      <c r="Y128" s="10">
        <f t="shared" si="12"/>
        <v>0</v>
      </c>
      <c r="Z128" s="13">
        <f t="shared" si="13"/>
        <v>0</v>
      </c>
    </row>
    <row r="129" spans="1:26" ht="14.25">
      <c r="A129" s="3">
        <f t="shared" si="19"/>
        <v>127</v>
      </c>
      <c r="B129" s="25">
        <f t="shared" si="20"/>
        <v>42429</v>
      </c>
      <c r="C129" s="5">
        <f>38/73</f>
        <v>0.5205479452054794</v>
      </c>
      <c r="D129" s="5">
        <f t="shared" si="27"/>
        <v>0.4794520547945206</v>
      </c>
      <c r="E129" s="6">
        <f t="shared" si="1"/>
        <v>0.041095890410958846</v>
      </c>
      <c r="F129" s="5">
        <v>0.6670999999999999</v>
      </c>
      <c r="G129" s="5">
        <v>0.6420999999999999</v>
      </c>
      <c r="H129" s="5">
        <v>0.6943</v>
      </c>
      <c r="I129" s="13">
        <f t="shared" si="2"/>
        <v>-0.052200000000000135</v>
      </c>
      <c r="J129" s="6">
        <f t="shared" si="29"/>
        <v>0</v>
      </c>
      <c r="K129" s="9" t="s">
        <v>138</v>
      </c>
      <c r="L129" s="3">
        <f t="shared" si="4"/>
        <v>0</v>
      </c>
      <c r="M129" s="26">
        <f t="shared" si="30"/>
        <v>0</v>
      </c>
      <c r="N129" s="3">
        <f t="shared" si="31"/>
        <v>1</v>
      </c>
      <c r="O129" s="10">
        <f t="shared" si="7"/>
        <v>1</v>
      </c>
      <c r="P129" s="6">
        <f t="shared" si="14"/>
        <v>0.5040650406504065</v>
      </c>
      <c r="Q129" s="11">
        <v>1947.13</v>
      </c>
      <c r="R129" s="11">
        <v>1999.99</v>
      </c>
      <c r="S129" s="12">
        <f t="shared" si="8"/>
        <v>52.8599999999999</v>
      </c>
      <c r="T129" s="13">
        <f t="shared" si="9"/>
        <v>0.027147648076913146</v>
      </c>
      <c r="U129" s="6">
        <f t="shared" si="16"/>
        <v>0.6363636363636364</v>
      </c>
      <c r="V129" s="6">
        <f t="shared" si="28"/>
        <v>0.5490196078431373</v>
      </c>
      <c r="W129" s="3">
        <f t="shared" si="10"/>
        <v>0</v>
      </c>
      <c r="X129" s="3">
        <f t="shared" si="11"/>
        <v>0</v>
      </c>
      <c r="Y129" s="10">
        <f t="shared" si="12"/>
        <v>0</v>
      </c>
      <c r="Z129" s="13">
        <f t="shared" si="13"/>
        <v>0</v>
      </c>
    </row>
    <row r="130" spans="1:26" ht="14.25">
      <c r="A130" s="3">
        <f t="shared" si="19"/>
        <v>128</v>
      </c>
      <c r="B130" s="25">
        <f t="shared" si="20"/>
        <v>42436</v>
      </c>
      <c r="C130" s="5">
        <f>38/77</f>
        <v>0.4935064935064935</v>
      </c>
      <c r="D130" s="5">
        <f t="shared" si="27"/>
        <v>0.5064935064935066</v>
      </c>
      <c r="E130" s="6">
        <f t="shared" si="1"/>
        <v>-0.012987012987013047</v>
      </c>
      <c r="F130" s="5">
        <v>0.6875</v>
      </c>
      <c r="G130" s="5">
        <v>0.6526000000000001</v>
      </c>
      <c r="H130" s="5">
        <v>0.7231000000000001</v>
      </c>
      <c r="I130" s="13">
        <f t="shared" si="2"/>
        <v>-0.07050000000000001</v>
      </c>
      <c r="J130" s="6">
        <f t="shared" si="29"/>
        <v>0</v>
      </c>
      <c r="K130" s="9" t="s">
        <v>143</v>
      </c>
      <c r="L130" s="3">
        <f t="shared" si="4"/>
        <v>0</v>
      </c>
      <c r="M130" s="26">
        <f t="shared" si="30"/>
        <v>0</v>
      </c>
      <c r="N130" s="3">
        <f t="shared" si="31"/>
        <v>0</v>
      </c>
      <c r="O130" s="10">
        <f t="shared" si="7"/>
        <v>1</v>
      </c>
      <c r="P130" s="6">
        <f t="shared" si="14"/>
        <v>0.5</v>
      </c>
      <c r="Q130" s="11">
        <v>1996.11</v>
      </c>
      <c r="R130" s="11">
        <v>2022.19</v>
      </c>
      <c r="S130" s="12">
        <f t="shared" si="8"/>
        <v>26.080000000000155</v>
      </c>
      <c r="T130" s="13">
        <f t="shared" si="9"/>
        <v>0.013065412226781167</v>
      </c>
      <c r="U130" s="6">
        <f t="shared" si="16"/>
        <v>0.5454545454545454</v>
      </c>
      <c r="V130" s="6">
        <f t="shared" si="28"/>
        <v>0.5294117647058824</v>
      </c>
      <c r="W130" s="3">
        <f t="shared" si="10"/>
        <v>0</v>
      </c>
      <c r="X130" s="3">
        <f t="shared" si="11"/>
        <v>0</v>
      </c>
      <c r="Y130" s="10">
        <f t="shared" si="12"/>
        <v>0</v>
      </c>
      <c r="Z130" s="13">
        <f t="shared" si="13"/>
        <v>0</v>
      </c>
    </row>
    <row r="131" spans="1:26" ht="14.25">
      <c r="A131" s="3">
        <f t="shared" si="19"/>
        <v>129</v>
      </c>
      <c r="B131" s="25">
        <f t="shared" si="20"/>
        <v>42443</v>
      </c>
      <c r="C131" s="5">
        <f>49/78</f>
        <v>0.6282051282051282</v>
      </c>
      <c r="D131" s="5">
        <f t="shared" si="27"/>
        <v>0.3717948717948718</v>
      </c>
      <c r="E131" s="6">
        <f t="shared" si="1"/>
        <v>0.2564102564102564</v>
      </c>
      <c r="F131" s="5">
        <v>0.6936</v>
      </c>
      <c r="G131" s="5">
        <v>0.7061</v>
      </c>
      <c r="H131" s="5">
        <v>0.6724</v>
      </c>
      <c r="I131" s="13">
        <f t="shared" si="2"/>
        <v>0.03369999999999995</v>
      </c>
      <c r="J131" s="6">
        <f t="shared" si="29"/>
        <v>0</v>
      </c>
      <c r="K131" s="9" t="s">
        <v>140</v>
      </c>
      <c r="L131" s="3">
        <f t="shared" si="4"/>
        <v>0</v>
      </c>
      <c r="M131" s="26">
        <f t="shared" si="30"/>
        <v>0</v>
      </c>
      <c r="N131" s="3">
        <f t="shared" si="31"/>
        <v>1</v>
      </c>
      <c r="O131" s="10">
        <f t="shared" si="7"/>
        <v>1</v>
      </c>
      <c r="P131" s="6">
        <f t="shared" si="14"/>
        <v>0.504</v>
      </c>
      <c r="Q131" s="11">
        <v>2019.27</v>
      </c>
      <c r="R131" s="11">
        <v>2049.58</v>
      </c>
      <c r="S131" s="12">
        <f t="shared" si="8"/>
        <v>30.309999999999945</v>
      </c>
      <c r="T131" s="13">
        <f t="shared" si="9"/>
        <v>0.015010375036523074</v>
      </c>
      <c r="U131" s="6">
        <f t="shared" si="16"/>
        <v>0.6363636363636364</v>
      </c>
      <c r="V131" s="6">
        <f t="shared" si="28"/>
        <v>0.5490196078431373</v>
      </c>
      <c r="W131" s="3">
        <f t="shared" si="10"/>
        <v>1</v>
      </c>
      <c r="X131" s="3">
        <f t="shared" si="11"/>
        <v>1</v>
      </c>
      <c r="Y131" s="10">
        <f t="shared" si="12"/>
        <v>1</v>
      </c>
      <c r="Z131" s="13">
        <f t="shared" si="13"/>
        <v>0.015010375036523074</v>
      </c>
    </row>
    <row r="132" spans="1:26" ht="14.25">
      <c r="A132" s="3">
        <f t="shared" si="19"/>
        <v>130</v>
      </c>
      <c r="B132" s="25">
        <f t="shared" si="20"/>
        <v>42450</v>
      </c>
      <c r="C132" s="5">
        <f>39/74</f>
        <v>0.527027027027027</v>
      </c>
      <c r="D132" s="5">
        <f t="shared" si="27"/>
        <v>0.472972972972973</v>
      </c>
      <c r="E132" s="6">
        <f t="shared" si="1"/>
        <v>0.054054054054053946</v>
      </c>
      <c r="F132" s="5">
        <v>0.6912</v>
      </c>
      <c r="G132" s="5">
        <v>0.6936</v>
      </c>
      <c r="H132" s="5">
        <v>0.6886</v>
      </c>
      <c r="I132" s="13">
        <f t="shared" si="2"/>
        <v>0.0050000000000000044</v>
      </c>
      <c r="J132" s="6">
        <f t="shared" si="29"/>
        <v>0</v>
      </c>
      <c r="K132" s="9" t="s">
        <v>138</v>
      </c>
      <c r="L132" s="3">
        <f t="shared" si="4"/>
        <v>0</v>
      </c>
      <c r="M132" s="26">
        <f t="shared" si="30"/>
        <v>0</v>
      </c>
      <c r="N132" s="3">
        <f t="shared" si="31"/>
        <v>0</v>
      </c>
      <c r="O132" s="10">
        <f t="shared" si="7"/>
        <v>0</v>
      </c>
      <c r="P132" s="6">
        <f t="shared" si="14"/>
        <v>0.5</v>
      </c>
      <c r="Q132" s="11">
        <v>2047.88</v>
      </c>
      <c r="R132" s="11">
        <v>2035.94</v>
      </c>
      <c r="S132" s="12">
        <f t="shared" si="8"/>
        <v>-11.940000000000055</v>
      </c>
      <c r="T132" s="13">
        <f t="shared" si="9"/>
        <v>-0.005830419751157321</v>
      </c>
      <c r="U132" s="6">
        <f t="shared" si="16"/>
        <v>0.5454545454545454</v>
      </c>
      <c r="V132" s="6">
        <f t="shared" si="28"/>
        <v>0.5294117647058824</v>
      </c>
      <c r="W132" s="3">
        <f t="shared" si="10"/>
        <v>0</v>
      </c>
      <c r="X132" s="3">
        <f t="shared" si="11"/>
        <v>1</v>
      </c>
      <c r="Y132" s="10">
        <f t="shared" si="12"/>
        <v>0</v>
      </c>
      <c r="Z132" s="13">
        <f t="shared" si="13"/>
        <v>0</v>
      </c>
    </row>
    <row r="133" spans="1:26" ht="14.25">
      <c r="A133" s="3">
        <f t="shared" si="19"/>
        <v>131</v>
      </c>
      <c r="B133" s="25">
        <f t="shared" si="20"/>
        <v>42457</v>
      </c>
      <c r="C133" s="5">
        <f>38/77</f>
        <v>0.4935064935064935</v>
      </c>
      <c r="D133" s="5">
        <f t="shared" si="27"/>
        <v>0.5064935064935066</v>
      </c>
      <c r="E133" s="6">
        <f t="shared" si="1"/>
        <v>-0.012987012987013047</v>
      </c>
      <c r="F133" s="5">
        <v>0.6701</v>
      </c>
      <c r="G133" s="5">
        <v>0.6408</v>
      </c>
      <c r="H133" s="5">
        <v>0.6987000000000001</v>
      </c>
      <c r="I133" s="13">
        <f t="shared" si="2"/>
        <v>-0.05790000000000006</v>
      </c>
      <c r="J133" s="6">
        <f t="shared" si="29"/>
        <v>0</v>
      </c>
      <c r="K133" s="9" t="s">
        <v>144</v>
      </c>
      <c r="L133" s="3">
        <f t="shared" si="4"/>
        <v>0</v>
      </c>
      <c r="M133" s="26">
        <f t="shared" si="30"/>
        <v>0</v>
      </c>
      <c r="N133" s="3">
        <f t="shared" si="31"/>
        <v>0</v>
      </c>
      <c r="O133" s="10">
        <f t="shared" si="7"/>
        <v>1</v>
      </c>
      <c r="P133" s="6">
        <f t="shared" si="14"/>
        <v>0.49606299212598426</v>
      </c>
      <c r="Q133" s="11">
        <v>2037.89</v>
      </c>
      <c r="R133" s="11">
        <v>2072.78</v>
      </c>
      <c r="S133" s="12">
        <f t="shared" si="8"/>
        <v>34.8900000000001</v>
      </c>
      <c r="T133" s="13">
        <f t="shared" si="9"/>
        <v>0.017120649299029927</v>
      </c>
      <c r="U133" s="6">
        <f t="shared" si="16"/>
        <v>0.5454545454545454</v>
      </c>
      <c r="V133" s="6">
        <f t="shared" si="28"/>
        <v>0.5098039215686274</v>
      </c>
      <c r="W133" s="3">
        <f t="shared" si="10"/>
        <v>0</v>
      </c>
      <c r="X133" s="3">
        <f t="shared" si="11"/>
        <v>0</v>
      </c>
      <c r="Y133" s="10">
        <f t="shared" si="12"/>
        <v>0</v>
      </c>
      <c r="Z133" s="13">
        <f t="shared" si="13"/>
        <v>0</v>
      </c>
    </row>
    <row r="134" spans="1:26" ht="14.25">
      <c r="A134" s="3">
        <f t="shared" si="19"/>
        <v>132</v>
      </c>
      <c r="B134" s="25">
        <f t="shared" si="20"/>
        <v>42464</v>
      </c>
      <c r="C134" s="5">
        <f>46/75</f>
        <v>0.6133333333333333</v>
      </c>
      <c r="D134" s="5">
        <f t="shared" si="27"/>
        <v>0.3866666666666667</v>
      </c>
      <c r="E134" s="6">
        <f t="shared" si="1"/>
        <v>0.22666666666666657</v>
      </c>
      <c r="F134" s="5">
        <v>0.7</v>
      </c>
      <c r="G134" s="5">
        <v>0.7065</v>
      </c>
      <c r="H134" s="5">
        <v>0.6897</v>
      </c>
      <c r="I134" s="13">
        <f t="shared" si="2"/>
        <v>0.016800000000000037</v>
      </c>
      <c r="J134" s="6">
        <f t="shared" si="29"/>
        <v>0</v>
      </c>
      <c r="K134" s="9" t="s">
        <v>139</v>
      </c>
      <c r="L134" s="3">
        <f t="shared" si="4"/>
        <v>0</v>
      </c>
      <c r="M134" s="26">
        <f t="shared" si="30"/>
        <v>0</v>
      </c>
      <c r="N134" s="3">
        <f t="shared" si="31"/>
        <v>0</v>
      </c>
      <c r="O134" s="10">
        <f t="shared" si="7"/>
        <v>0</v>
      </c>
      <c r="P134" s="6">
        <f t="shared" si="14"/>
        <v>0.4921875</v>
      </c>
      <c r="Q134" s="11">
        <v>2073.19</v>
      </c>
      <c r="R134" s="11">
        <v>2047.6</v>
      </c>
      <c r="S134" s="12">
        <f t="shared" si="8"/>
        <v>-25.590000000000146</v>
      </c>
      <c r="T134" s="13">
        <f t="shared" si="9"/>
        <v>-0.012343297044651067</v>
      </c>
      <c r="U134" s="6">
        <f t="shared" si="16"/>
        <v>0.5454545454545454</v>
      </c>
      <c r="V134" s="6">
        <f t="shared" si="28"/>
        <v>0.5098039215686274</v>
      </c>
      <c r="W134" s="3">
        <f t="shared" si="10"/>
        <v>1</v>
      </c>
      <c r="X134" s="3">
        <f t="shared" si="11"/>
        <v>1</v>
      </c>
      <c r="Y134" s="10">
        <f t="shared" si="12"/>
        <v>0</v>
      </c>
      <c r="Z134" s="13">
        <f t="shared" si="13"/>
        <v>-0.012343297044651067</v>
      </c>
    </row>
    <row r="135" spans="1:26" ht="14.25">
      <c r="A135" s="3">
        <f t="shared" si="19"/>
        <v>133</v>
      </c>
      <c r="B135" s="25">
        <f t="shared" si="20"/>
        <v>42471</v>
      </c>
      <c r="C135" s="5">
        <f>31/68</f>
        <v>0.45588235294117646</v>
      </c>
      <c r="D135" s="5">
        <f t="shared" si="27"/>
        <v>0.5441176470588236</v>
      </c>
      <c r="E135" s="6">
        <f t="shared" si="1"/>
        <v>-0.08823529411764713</v>
      </c>
      <c r="F135" s="5">
        <v>0.6846</v>
      </c>
      <c r="G135" s="5">
        <v>0.6774</v>
      </c>
      <c r="H135" s="5">
        <v>0.6905</v>
      </c>
      <c r="I135" s="13">
        <f t="shared" si="2"/>
        <v>-0.0131</v>
      </c>
      <c r="J135" s="6">
        <f t="shared" si="29"/>
        <v>0</v>
      </c>
      <c r="K135" s="9" t="s">
        <v>143</v>
      </c>
      <c r="L135" s="3">
        <f t="shared" si="4"/>
        <v>0</v>
      </c>
      <c r="M135" s="26">
        <f t="shared" si="30"/>
        <v>0</v>
      </c>
      <c r="N135" s="3">
        <f t="shared" si="31"/>
        <v>0</v>
      </c>
      <c r="O135" s="10">
        <f t="shared" si="7"/>
        <v>1</v>
      </c>
      <c r="P135" s="6">
        <f t="shared" si="14"/>
        <v>0.4883720930232558</v>
      </c>
      <c r="Q135" s="11">
        <v>2050.23</v>
      </c>
      <c r="R135" s="11">
        <v>2080.73</v>
      </c>
      <c r="S135" s="12">
        <f t="shared" si="8"/>
        <v>30.5</v>
      </c>
      <c r="T135" s="13">
        <f t="shared" si="9"/>
        <v>0.014876379723250562</v>
      </c>
      <c r="U135" s="6">
        <f t="shared" si="16"/>
        <v>0.45454545454545453</v>
      </c>
      <c r="V135" s="6">
        <f t="shared" si="28"/>
        <v>0.49019607843137253</v>
      </c>
      <c r="W135" s="3">
        <f t="shared" si="10"/>
        <v>0</v>
      </c>
      <c r="X135" s="3">
        <f t="shared" si="11"/>
        <v>0</v>
      </c>
      <c r="Y135" s="10">
        <f t="shared" si="12"/>
        <v>0</v>
      </c>
      <c r="Z135" s="13">
        <f t="shared" si="13"/>
        <v>0</v>
      </c>
    </row>
    <row r="136" spans="1:26" ht="14.25">
      <c r="A136" s="3">
        <f t="shared" si="19"/>
        <v>134</v>
      </c>
      <c r="B136" s="25">
        <f t="shared" si="20"/>
        <v>42478</v>
      </c>
      <c r="C136" s="5">
        <f>29/62</f>
        <v>0.46774193548387094</v>
      </c>
      <c r="D136" s="5">
        <f t="shared" si="27"/>
        <v>0.532258064516129</v>
      </c>
      <c r="E136" s="6">
        <f t="shared" si="1"/>
        <v>-0.06451612903225806</v>
      </c>
      <c r="F136" s="5">
        <v>0.6766</v>
      </c>
      <c r="G136" s="5">
        <v>0.6828</v>
      </c>
      <c r="H136" s="5">
        <v>0.6712</v>
      </c>
      <c r="I136" s="13">
        <f t="shared" si="2"/>
        <v>0.011599999999999944</v>
      </c>
      <c r="J136" s="6">
        <f t="shared" si="29"/>
        <v>0</v>
      </c>
      <c r="K136" s="9" t="s">
        <v>138</v>
      </c>
      <c r="L136" s="3">
        <f t="shared" si="4"/>
        <v>0</v>
      </c>
      <c r="M136" s="26">
        <f t="shared" si="30"/>
        <v>0</v>
      </c>
      <c r="N136" s="3">
        <f t="shared" si="31"/>
        <v>0</v>
      </c>
      <c r="O136" s="10">
        <f t="shared" si="7"/>
        <v>1</v>
      </c>
      <c r="P136" s="6">
        <f t="shared" si="14"/>
        <v>0.4846153846153846</v>
      </c>
      <c r="Q136" s="11">
        <v>2078.83</v>
      </c>
      <c r="R136" s="11">
        <v>2091.58</v>
      </c>
      <c r="S136" s="12">
        <f t="shared" si="8"/>
        <v>12.75</v>
      </c>
      <c r="T136" s="13">
        <f t="shared" si="9"/>
        <v>0.0061332576497356685</v>
      </c>
      <c r="U136" s="6">
        <f t="shared" si="16"/>
        <v>0.45454545454545453</v>
      </c>
      <c r="V136" s="6">
        <f t="shared" si="28"/>
        <v>0.49019607843137253</v>
      </c>
      <c r="W136" s="3">
        <f t="shared" si="10"/>
        <v>0</v>
      </c>
      <c r="X136" s="3">
        <f t="shared" si="11"/>
        <v>1</v>
      </c>
      <c r="Y136" s="10">
        <f t="shared" si="12"/>
        <v>0</v>
      </c>
      <c r="Z136" s="13">
        <f t="shared" si="13"/>
        <v>0</v>
      </c>
    </row>
    <row r="137" spans="1:26" ht="14.25">
      <c r="A137" s="3">
        <f t="shared" si="19"/>
        <v>135</v>
      </c>
      <c r="B137" s="25">
        <f t="shared" si="20"/>
        <v>42485</v>
      </c>
      <c r="C137" s="5">
        <f>43/89</f>
        <v>0.48314606741573035</v>
      </c>
      <c r="D137" s="5">
        <f t="shared" si="27"/>
        <v>0.5168539325842696</v>
      </c>
      <c r="E137" s="6">
        <f t="shared" si="1"/>
        <v>-0.03370786516853924</v>
      </c>
      <c r="F137" s="5">
        <v>0.6848000000000001</v>
      </c>
      <c r="G137" s="5">
        <v>0.7128</v>
      </c>
      <c r="H137" s="5">
        <v>0.6587000000000001</v>
      </c>
      <c r="I137" s="13">
        <f t="shared" si="2"/>
        <v>0.054099999999999926</v>
      </c>
      <c r="J137" s="6">
        <f t="shared" si="29"/>
        <v>0</v>
      </c>
      <c r="K137" s="9" t="s">
        <v>139</v>
      </c>
      <c r="L137" s="3">
        <f t="shared" si="4"/>
        <v>0</v>
      </c>
      <c r="M137" s="26">
        <f t="shared" si="30"/>
        <v>0</v>
      </c>
      <c r="N137" s="3">
        <f t="shared" si="31"/>
        <v>1</v>
      </c>
      <c r="O137" s="10">
        <f t="shared" si="7"/>
        <v>0</v>
      </c>
      <c r="P137" s="6">
        <f t="shared" si="14"/>
        <v>0.48854961832061067</v>
      </c>
      <c r="Q137" s="11">
        <v>2089.37</v>
      </c>
      <c r="R137" s="11">
        <v>2065.3</v>
      </c>
      <c r="S137" s="12">
        <f t="shared" si="8"/>
        <v>-24.06999999999971</v>
      </c>
      <c r="T137" s="13">
        <f t="shared" si="9"/>
        <v>-0.011520219013386672</v>
      </c>
      <c r="U137" s="6">
        <f t="shared" si="16"/>
        <v>0.45454545454545453</v>
      </c>
      <c r="V137" s="6">
        <f t="shared" si="28"/>
        <v>0.49019607843137253</v>
      </c>
      <c r="W137" s="3">
        <f t="shared" si="10"/>
        <v>0</v>
      </c>
      <c r="X137" s="3">
        <f t="shared" si="11"/>
        <v>1</v>
      </c>
      <c r="Y137" s="10">
        <f t="shared" si="12"/>
        <v>0</v>
      </c>
      <c r="Z137" s="13">
        <f t="shared" si="13"/>
        <v>0</v>
      </c>
    </row>
    <row r="138" spans="1:26" ht="14.25">
      <c r="A138" s="3">
        <f t="shared" si="19"/>
        <v>136</v>
      </c>
      <c r="B138" s="25">
        <f t="shared" si="20"/>
        <v>42492</v>
      </c>
      <c r="C138" s="5">
        <f>32/76</f>
        <v>0.42105263157894735</v>
      </c>
      <c r="D138" s="5">
        <f t="shared" si="27"/>
        <v>0.5789473684210527</v>
      </c>
      <c r="E138" s="6">
        <f t="shared" si="1"/>
        <v>-0.1578947368421053</v>
      </c>
      <c r="F138" s="5">
        <v>0.6908</v>
      </c>
      <c r="G138" s="5">
        <v>0.6484000000000001</v>
      </c>
      <c r="H138" s="5">
        <v>0.7216</v>
      </c>
      <c r="I138" s="13">
        <f t="shared" si="2"/>
        <v>-0.07319999999999993</v>
      </c>
      <c r="J138" s="6">
        <f t="shared" si="29"/>
        <v>0</v>
      </c>
      <c r="K138" s="9" t="s">
        <v>145</v>
      </c>
      <c r="L138" s="3">
        <f t="shared" si="4"/>
        <v>0</v>
      </c>
      <c r="M138" s="26">
        <f t="shared" si="30"/>
        <v>0</v>
      </c>
      <c r="N138" s="3">
        <f t="shared" si="31"/>
        <v>1</v>
      </c>
      <c r="O138" s="10">
        <f t="shared" si="7"/>
        <v>0</v>
      </c>
      <c r="P138" s="6">
        <f t="shared" si="14"/>
        <v>0.49242424242424243</v>
      </c>
      <c r="Q138" s="11">
        <v>2067.17</v>
      </c>
      <c r="R138" s="11">
        <v>2057.14</v>
      </c>
      <c r="S138" s="12">
        <f t="shared" si="8"/>
        <v>-10.0300000000002</v>
      </c>
      <c r="T138" s="13">
        <f t="shared" si="9"/>
        <v>-0.004852044098937291</v>
      </c>
      <c r="U138" s="6">
        <f t="shared" si="16"/>
        <v>0.45454545454545453</v>
      </c>
      <c r="V138" s="6">
        <f t="shared" si="28"/>
        <v>0.49019607843137253</v>
      </c>
      <c r="W138" s="3">
        <f t="shared" si="10"/>
        <v>0</v>
      </c>
      <c r="X138" s="3">
        <f t="shared" si="11"/>
        <v>0</v>
      </c>
      <c r="Y138" s="10">
        <f t="shared" si="12"/>
        <v>0</v>
      </c>
      <c r="Z138" s="13">
        <f t="shared" si="13"/>
        <v>0</v>
      </c>
    </row>
    <row r="139" spans="1:26" ht="14.25">
      <c r="A139" s="3">
        <f t="shared" si="19"/>
        <v>137</v>
      </c>
      <c r="B139" s="25">
        <f t="shared" si="20"/>
        <v>42499</v>
      </c>
      <c r="C139" s="5">
        <f>40/70</f>
        <v>0.5714285714285714</v>
      </c>
      <c r="D139" s="5">
        <f t="shared" si="27"/>
        <v>0.4285714285714286</v>
      </c>
      <c r="E139" s="6">
        <f t="shared" si="1"/>
        <v>0.1428571428571428</v>
      </c>
      <c r="F139" s="5">
        <v>0.6736</v>
      </c>
      <c r="G139" s="5">
        <v>0.665</v>
      </c>
      <c r="H139" s="5">
        <v>0.685</v>
      </c>
      <c r="I139" s="13">
        <f t="shared" si="2"/>
        <v>-0.020000000000000018</v>
      </c>
      <c r="J139" s="6">
        <f t="shared" si="29"/>
        <v>0</v>
      </c>
      <c r="K139" s="9" t="s">
        <v>146</v>
      </c>
      <c r="L139" s="3">
        <f t="shared" si="4"/>
        <v>0</v>
      </c>
      <c r="M139" s="26">
        <f t="shared" si="30"/>
        <v>0</v>
      </c>
      <c r="N139" s="3">
        <f t="shared" si="31"/>
        <v>0</v>
      </c>
      <c r="O139" s="10">
        <f t="shared" si="7"/>
        <v>0</v>
      </c>
      <c r="P139" s="6">
        <f t="shared" si="14"/>
        <v>0.48872180451127817</v>
      </c>
      <c r="Q139" s="11">
        <v>2057.55</v>
      </c>
      <c r="R139" s="11">
        <v>2046.61</v>
      </c>
      <c r="S139" s="12">
        <f t="shared" si="8"/>
        <v>-10.940000000000282</v>
      </c>
      <c r="T139" s="13">
        <f t="shared" si="9"/>
        <v>-0.005317003231999359</v>
      </c>
      <c r="U139" s="6">
        <f t="shared" si="16"/>
        <v>0.36363636363636365</v>
      </c>
      <c r="V139" s="6">
        <f t="shared" si="28"/>
        <v>0.47058823529411764</v>
      </c>
      <c r="W139" s="3">
        <f t="shared" si="10"/>
        <v>1</v>
      </c>
      <c r="X139" s="3">
        <f t="shared" si="11"/>
        <v>0</v>
      </c>
      <c r="Y139" s="10">
        <f t="shared" si="12"/>
        <v>0</v>
      </c>
      <c r="Z139" s="13">
        <f t="shared" si="13"/>
        <v>0</v>
      </c>
    </row>
    <row r="140" spans="1:26" ht="14.25">
      <c r="A140" s="3">
        <f t="shared" si="19"/>
        <v>138</v>
      </c>
      <c r="B140" s="25">
        <f t="shared" si="20"/>
        <v>42506</v>
      </c>
      <c r="C140" s="5">
        <f>18/59</f>
        <v>0.3050847457627119</v>
      </c>
      <c r="D140" s="5">
        <f t="shared" si="27"/>
        <v>0.6949152542372881</v>
      </c>
      <c r="E140" s="6">
        <f t="shared" si="1"/>
        <v>-0.3898305084745762</v>
      </c>
      <c r="F140" s="5">
        <v>0.7017</v>
      </c>
      <c r="G140" s="5">
        <v>0.6806</v>
      </c>
      <c r="H140" s="5">
        <v>0.711</v>
      </c>
      <c r="I140" s="13">
        <f t="shared" si="2"/>
        <v>-0.030399999999999983</v>
      </c>
      <c r="J140" s="6">
        <f t="shared" si="29"/>
        <v>0</v>
      </c>
      <c r="K140" s="9" t="s">
        <v>135</v>
      </c>
      <c r="L140" s="3">
        <f t="shared" si="4"/>
        <v>0</v>
      </c>
      <c r="M140" s="26">
        <f t="shared" si="30"/>
        <v>0</v>
      </c>
      <c r="N140" s="3">
        <f t="shared" si="31"/>
        <v>1</v>
      </c>
      <c r="O140" s="10">
        <f t="shared" si="7"/>
        <v>0</v>
      </c>
      <c r="P140" s="6">
        <f t="shared" si="14"/>
        <v>0.4925373134328358</v>
      </c>
      <c r="Q140" s="11">
        <v>2062.5</v>
      </c>
      <c r="R140" s="11">
        <v>2052.32</v>
      </c>
      <c r="S140" s="12">
        <f t="shared" si="8"/>
        <v>-10.179999999999836</v>
      </c>
      <c r="T140" s="13">
        <f t="shared" si="9"/>
        <v>-0.004935757575757496</v>
      </c>
      <c r="U140" s="6">
        <f t="shared" si="16"/>
        <v>0.36363636363636365</v>
      </c>
      <c r="V140" s="6">
        <f t="shared" si="28"/>
        <v>0.49019607843137253</v>
      </c>
      <c r="W140" s="3">
        <f t="shared" si="10"/>
        <v>0</v>
      </c>
      <c r="X140" s="3">
        <f t="shared" si="11"/>
        <v>0</v>
      </c>
      <c r="Y140" s="10">
        <f t="shared" si="12"/>
        <v>0</v>
      </c>
      <c r="Z140" s="13">
        <f t="shared" si="13"/>
        <v>0</v>
      </c>
    </row>
    <row r="141" spans="1:26" ht="14.25">
      <c r="A141" s="3">
        <f t="shared" si="19"/>
        <v>139</v>
      </c>
      <c r="B141" s="25">
        <f t="shared" si="20"/>
        <v>42513</v>
      </c>
      <c r="C141" s="5">
        <f>26/57</f>
        <v>0.45614035087719296</v>
      </c>
      <c r="D141" s="5">
        <f t="shared" si="27"/>
        <v>0.543859649122807</v>
      </c>
      <c r="E141" s="6">
        <f t="shared" si="1"/>
        <v>-0.08771929824561409</v>
      </c>
      <c r="F141" s="5">
        <v>0.6939</v>
      </c>
      <c r="G141" s="5">
        <v>0.7</v>
      </c>
      <c r="H141" s="5">
        <v>0.6887000000000001</v>
      </c>
      <c r="I141" s="13">
        <f t="shared" si="2"/>
        <v>0.011299999999999866</v>
      </c>
      <c r="J141" s="6">
        <f t="shared" si="29"/>
        <v>0</v>
      </c>
      <c r="K141" s="9" t="s">
        <v>140</v>
      </c>
      <c r="L141" s="3">
        <f t="shared" si="4"/>
        <v>0</v>
      </c>
      <c r="M141" s="26">
        <f t="shared" si="30"/>
        <v>0</v>
      </c>
      <c r="N141" s="3">
        <f t="shared" si="31"/>
        <v>0</v>
      </c>
      <c r="O141" s="10">
        <f t="shared" si="7"/>
        <v>1</v>
      </c>
      <c r="P141" s="6">
        <f t="shared" si="14"/>
        <v>0.4888888888888889</v>
      </c>
      <c r="Q141" s="11">
        <v>2052.23</v>
      </c>
      <c r="R141" s="11">
        <v>2090.06</v>
      </c>
      <c r="S141" s="12">
        <f t="shared" si="8"/>
        <v>37.82999999999993</v>
      </c>
      <c r="T141" s="13">
        <f t="shared" si="9"/>
        <v>0.018433606369656387</v>
      </c>
      <c r="U141" s="6">
        <f t="shared" si="16"/>
        <v>0.36363636363636365</v>
      </c>
      <c r="V141" s="6">
        <f t="shared" si="28"/>
        <v>0.47058823529411764</v>
      </c>
      <c r="W141" s="3">
        <f t="shared" si="10"/>
        <v>0</v>
      </c>
      <c r="X141" s="3">
        <f t="shared" si="11"/>
        <v>1</v>
      </c>
      <c r="Y141" s="10">
        <f t="shared" si="12"/>
        <v>0</v>
      </c>
      <c r="Z141" s="13">
        <f t="shared" si="13"/>
        <v>0</v>
      </c>
    </row>
    <row r="142" spans="1:26" ht="14.25">
      <c r="A142" s="3">
        <f t="shared" si="19"/>
        <v>140</v>
      </c>
      <c r="B142" s="25">
        <f t="shared" si="20"/>
        <v>42520</v>
      </c>
      <c r="C142" s="5">
        <f>35/71</f>
        <v>0.49295774647887325</v>
      </c>
      <c r="D142" s="5">
        <f t="shared" si="27"/>
        <v>0.5070422535211268</v>
      </c>
      <c r="E142" s="6">
        <f t="shared" si="1"/>
        <v>-0.014084507042253502</v>
      </c>
      <c r="F142" s="5">
        <v>0.6843</v>
      </c>
      <c r="G142" s="5">
        <v>0.6957</v>
      </c>
      <c r="H142" s="5">
        <v>0.6729</v>
      </c>
      <c r="I142" s="13">
        <f t="shared" si="2"/>
        <v>0.02279999999999993</v>
      </c>
      <c r="J142" s="6">
        <f t="shared" si="29"/>
        <v>0</v>
      </c>
      <c r="K142" s="9" t="s">
        <v>147</v>
      </c>
      <c r="L142" s="3">
        <f t="shared" si="4"/>
        <v>0</v>
      </c>
      <c r="M142" s="26">
        <f t="shared" si="30"/>
        <v>0</v>
      </c>
      <c r="N142" s="3">
        <f t="shared" si="31"/>
        <v>1</v>
      </c>
      <c r="O142" s="10">
        <f t="shared" si="7"/>
        <v>0</v>
      </c>
      <c r="P142" s="6">
        <f t="shared" si="14"/>
        <v>0.49264705882352944</v>
      </c>
      <c r="Q142" s="11">
        <v>2100.13</v>
      </c>
      <c r="R142" s="11">
        <v>2099.13</v>
      </c>
      <c r="S142" s="12">
        <f t="shared" si="8"/>
        <v>-1</v>
      </c>
      <c r="T142" s="13">
        <f t="shared" si="9"/>
        <v>-0.00047616099955717026</v>
      </c>
      <c r="U142" s="6">
        <f t="shared" si="16"/>
        <v>0.36363636363636365</v>
      </c>
      <c r="V142" s="6">
        <f t="shared" si="28"/>
        <v>0.49019607843137253</v>
      </c>
      <c r="W142" s="3">
        <f t="shared" si="10"/>
        <v>0</v>
      </c>
      <c r="X142" s="3">
        <f t="shared" si="11"/>
        <v>1</v>
      </c>
      <c r="Y142" s="10">
        <f t="shared" si="12"/>
        <v>0</v>
      </c>
      <c r="Z142" s="13">
        <f t="shared" si="13"/>
        <v>0</v>
      </c>
    </row>
    <row r="143" spans="1:26" ht="14.25">
      <c r="A143" s="3">
        <f t="shared" si="19"/>
        <v>141</v>
      </c>
      <c r="B143" s="25">
        <f t="shared" si="20"/>
        <v>42527</v>
      </c>
      <c r="C143" s="5">
        <f>33/68</f>
        <v>0.4852941176470588</v>
      </c>
      <c r="D143" s="5">
        <f t="shared" si="27"/>
        <v>0.5147058823529411</v>
      </c>
      <c r="E143" s="6">
        <f t="shared" si="1"/>
        <v>-0.029411764705882304</v>
      </c>
      <c r="F143" s="5">
        <v>0.6846</v>
      </c>
      <c r="G143" s="5">
        <v>0.6955</v>
      </c>
      <c r="H143" s="5">
        <v>0.6743000000000001</v>
      </c>
      <c r="I143" s="13">
        <f t="shared" si="2"/>
        <v>0.021199999999999886</v>
      </c>
      <c r="J143" s="6">
        <f t="shared" si="29"/>
        <v>0</v>
      </c>
      <c r="K143" s="9" t="s">
        <v>134</v>
      </c>
      <c r="L143" s="3">
        <f t="shared" si="4"/>
        <v>0</v>
      </c>
      <c r="M143" s="26">
        <f t="shared" si="30"/>
        <v>0</v>
      </c>
      <c r="N143" s="3">
        <f t="shared" si="31"/>
        <v>1</v>
      </c>
      <c r="O143" s="10">
        <f t="shared" si="7"/>
        <v>0</v>
      </c>
      <c r="P143" s="6">
        <f t="shared" si="14"/>
        <v>0.49635036496350365</v>
      </c>
      <c r="Q143" s="11">
        <v>2100.83</v>
      </c>
      <c r="R143" s="11">
        <v>2096.07</v>
      </c>
      <c r="S143" s="12">
        <f t="shared" si="8"/>
        <v>-4.7599999999997635</v>
      </c>
      <c r="T143" s="13">
        <f t="shared" si="9"/>
        <v>-0.002265771147593934</v>
      </c>
      <c r="U143" s="6">
        <f t="shared" si="16"/>
        <v>0.45454545454545453</v>
      </c>
      <c r="V143" s="6">
        <f t="shared" si="28"/>
        <v>0.49019607843137253</v>
      </c>
      <c r="W143" s="3">
        <f t="shared" si="10"/>
        <v>0</v>
      </c>
      <c r="X143" s="3">
        <f t="shared" si="11"/>
        <v>1</v>
      </c>
      <c r="Y143" s="10">
        <f t="shared" si="12"/>
        <v>0</v>
      </c>
      <c r="Z143" s="13">
        <f t="shared" si="13"/>
        <v>0</v>
      </c>
    </row>
    <row r="144" spans="1:26" ht="14.25">
      <c r="A144" s="3">
        <f t="shared" si="19"/>
        <v>142</v>
      </c>
      <c r="B144" s="25">
        <f t="shared" si="20"/>
        <v>42534</v>
      </c>
      <c r="C144" s="5">
        <f>20/56</f>
        <v>0.35714285714285715</v>
      </c>
      <c r="D144" s="5">
        <f t="shared" si="27"/>
        <v>0.6428571428571428</v>
      </c>
      <c r="E144" s="6">
        <f t="shared" si="1"/>
        <v>-0.28571428571428564</v>
      </c>
      <c r="F144" s="5">
        <v>0.7045</v>
      </c>
      <c r="G144" s="5">
        <v>0.7125</v>
      </c>
      <c r="H144" s="5">
        <v>0.7</v>
      </c>
      <c r="I144" s="13">
        <f t="shared" si="2"/>
        <v>0.012500000000000067</v>
      </c>
      <c r="J144" s="6">
        <f t="shared" si="29"/>
        <v>0</v>
      </c>
      <c r="K144" s="9" t="s">
        <v>148</v>
      </c>
      <c r="L144" s="3">
        <f t="shared" si="4"/>
        <v>0</v>
      </c>
      <c r="M144" s="26">
        <f t="shared" si="30"/>
        <v>0</v>
      </c>
      <c r="N144" s="3">
        <f t="shared" si="31"/>
        <v>1</v>
      </c>
      <c r="O144" s="10">
        <f t="shared" si="7"/>
        <v>0</v>
      </c>
      <c r="P144" s="6">
        <f t="shared" si="14"/>
        <v>0.5</v>
      </c>
      <c r="Q144" s="11">
        <v>2091.75</v>
      </c>
      <c r="R144" s="11">
        <v>2071.22</v>
      </c>
      <c r="S144" s="12">
        <f t="shared" si="8"/>
        <v>-20.5300000000002</v>
      </c>
      <c r="T144" s="13">
        <f t="shared" si="9"/>
        <v>-0.009814748416397848</v>
      </c>
      <c r="U144" s="6">
        <f t="shared" si="16"/>
        <v>0.5454545454545454</v>
      </c>
      <c r="V144" s="6">
        <f t="shared" si="28"/>
        <v>0.49019607843137253</v>
      </c>
      <c r="W144" s="3">
        <f t="shared" si="10"/>
        <v>0</v>
      </c>
      <c r="X144" s="3">
        <f t="shared" si="11"/>
        <v>1</v>
      </c>
      <c r="Y144" s="10">
        <f t="shared" si="12"/>
        <v>0</v>
      </c>
      <c r="Z144" s="13">
        <f t="shared" si="13"/>
        <v>0</v>
      </c>
    </row>
    <row r="145" spans="1:26" ht="14.25">
      <c r="A145" s="3">
        <f t="shared" si="19"/>
        <v>143</v>
      </c>
      <c r="B145" s="25">
        <f t="shared" si="20"/>
        <v>42541</v>
      </c>
      <c r="C145" s="5">
        <f>35/77</f>
        <v>0.45454545454545453</v>
      </c>
      <c r="D145" s="5">
        <f t="shared" si="27"/>
        <v>0.5454545454545454</v>
      </c>
      <c r="E145" s="6">
        <f t="shared" si="1"/>
        <v>-0.09090909090909088</v>
      </c>
      <c r="F145" s="5">
        <v>0.6942</v>
      </c>
      <c r="G145" s="5">
        <v>0.67</v>
      </c>
      <c r="H145" s="5">
        <v>0.7143</v>
      </c>
      <c r="I145" s="13">
        <f t="shared" si="2"/>
        <v>-0.044300000000000006</v>
      </c>
      <c r="J145" s="6">
        <f t="shared" si="29"/>
        <v>0</v>
      </c>
      <c r="K145" s="9" t="s">
        <v>141</v>
      </c>
      <c r="L145" s="3">
        <f t="shared" si="4"/>
        <v>0</v>
      </c>
      <c r="M145" s="26">
        <f t="shared" si="30"/>
        <v>0</v>
      </c>
      <c r="N145" s="3">
        <f t="shared" si="31"/>
        <v>1</v>
      </c>
      <c r="O145" s="10">
        <f t="shared" si="7"/>
        <v>0</v>
      </c>
      <c r="P145" s="6">
        <f t="shared" si="14"/>
        <v>0.5035971223021583</v>
      </c>
      <c r="Q145" s="11">
        <v>2075.58</v>
      </c>
      <c r="R145" s="11">
        <v>2037.3</v>
      </c>
      <c r="S145" s="12">
        <f t="shared" si="8"/>
        <v>-38.27999999999997</v>
      </c>
      <c r="T145" s="13">
        <f t="shared" si="9"/>
        <v>-0.018443037608764767</v>
      </c>
      <c r="U145" s="6">
        <f t="shared" si="16"/>
        <v>0.6363636363636364</v>
      </c>
      <c r="V145" s="6">
        <f t="shared" si="28"/>
        <v>0.5098039215686274</v>
      </c>
      <c r="W145" s="3">
        <f t="shared" si="10"/>
        <v>0</v>
      </c>
      <c r="X145" s="3">
        <f t="shared" si="11"/>
        <v>0</v>
      </c>
      <c r="Y145" s="10">
        <f t="shared" si="12"/>
        <v>0</v>
      </c>
      <c r="Z145" s="13">
        <f t="shared" si="13"/>
        <v>0</v>
      </c>
    </row>
    <row r="146" spans="1:26" ht="14.25">
      <c r="A146" s="3">
        <f t="shared" si="19"/>
        <v>144</v>
      </c>
      <c r="B146" s="25">
        <f t="shared" si="20"/>
        <v>42548</v>
      </c>
      <c r="C146" s="5">
        <f>31/75</f>
        <v>0.41333333333333333</v>
      </c>
      <c r="D146" s="5">
        <f t="shared" si="27"/>
        <v>0.5866666666666667</v>
      </c>
      <c r="E146" s="6">
        <f t="shared" si="1"/>
        <v>-0.17333333333333334</v>
      </c>
      <c r="F146" s="5">
        <v>0.6893</v>
      </c>
      <c r="G146" s="5">
        <v>0.6484000000000001</v>
      </c>
      <c r="H146" s="5">
        <v>0.7182</v>
      </c>
      <c r="I146" s="13">
        <f t="shared" si="2"/>
        <v>-0.06979999999999986</v>
      </c>
      <c r="J146" s="6">
        <f t="shared" si="29"/>
        <v>0</v>
      </c>
      <c r="K146" s="9" t="s">
        <v>149</v>
      </c>
      <c r="L146" s="3">
        <f t="shared" si="4"/>
        <v>0</v>
      </c>
      <c r="M146" s="26">
        <f t="shared" si="30"/>
        <v>0</v>
      </c>
      <c r="N146" s="3">
        <f t="shared" si="31"/>
        <v>0</v>
      </c>
      <c r="O146" s="10">
        <f t="shared" si="7"/>
        <v>1</v>
      </c>
      <c r="P146" s="6">
        <f t="shared" si="14"/>
        <v>0.5</v>
      </c>
      <c r="Q146" s="11">
        <v>2031.45</v>
      </c>
      <c r="R146" s="11">
        <v>2102.95</v>
      </c>
      <c r="S146" s="12">
        <f t="shared" si="8"/>
        <v>71.49999999999977</v>
      </c>
      <c r="T146" s="13">
        <f t="shared" si="9"/>
        <v>0.03519653449506499</v>
      </c>
      <c r="U146" s="6">
        <f t="shared" si="16"/>
        <v>0.6363636363636364</v>
      </c>
      <c r="V146" s="6">
        <f t="shared" si="28"/>
        <v>0.5098039215686274</v>
      </c>
      <c r="W146" s="3">
        <f t="shared" si="10"/>
        <v>0</v>
      </c>
      <c r="X146" s="3">
        <f t="shared" si="11"/>
        <v>0</v>
      </c>
      <c r="Y146" s="10">
        <f t="shared" si="12"/>
        <v>0</v>
      </c>
      <c r="Z146" s="13">
        <f t="shared" si="13"/>
        <v>0</v>
      </c>
    </row>
    <row r="147" spans="1:26" ht="14.25">
      <c r="A147" s="3">
        <f t="shared" si="19"/>
        <v>145</v>
      </c>
      <c r="B147" s="25">
        <f t="shared" si="20"/>
        <v>42555</v>
      </c>
      <c r="C147" s="5">
        <f>37/77</f>
        <v>0.4805194805194805</v>
      </c>
      <c r="D147" s="5">
        <f t="shared" si="27"/>
        <v>0.5194805194805194</v>
      </c>
      <c r="E147" s="6">
        <f t="shared" si="1"/>
        <v>-0.03896103896103892</v>
      </c>
      <c r="F147" s="5">
        <v>0.6799</v>
      </c>
      <c r="G147" s="5">
        <v>0.6892</v>
      </c>
      <c r="H147" s="5">
        <v>0.6713</v>
      </c>
      <c r="I147" s="13">
        <f t="shared" si="2"/>
        <v>0.017900000000000027</v>
      </c>
      <c r="J147" s="6">
        <f t="shared" si="29"/>
        <v>0</v>
      </c>
      <c r="K147" s="9" t="s">
        <v>137</v>
      </c>
      <c r="L147" s="3">
        <f t="shared" si="4"/>
        <v>0</v>
      </c>
      <c r="M147" s="26">
        <f t="shared" si="30"/>
        <v>0</v>
      </c>
      <c r="N147" s="3">
        <f t="shared" si="31"/>
        <v>0</v>
      </c>
      <c r="O147" s="10">
        <f t="shared" si="7"/>
        <v>1</v>
      </c>
      <c r="P147" s="6">
        <f t="shared" si="14"/>
        <v>0.49645390070921985</v>
      </c>
      <c r="Q147" s="11">
        <v>2095.05</v>
      </c>
      <c r="R147" s="11">
        <v>2129.9</v>
      </c>
      <c r="S147" s="12">
        <f t="shared" si="8"/>
        <v>34.84999999999991</v>
      </c>
      <c r="T147" s="13">
        <f t="shared" si="9"/>
        <v>0.016634447865206035</v>
      </c>
      <c r="U147" s="6">
        <f t="shared" si="16"/>
        <v>0.6363636363636364</v>
      </c>
      <c r="V147" s="6">
        <f t="shared" si="28"/>
        <v>0.49019607843137253</v>
      </c>
      <c r="W147" s="3">
        <f t="shared" si="10"/>
        <v>0</v>
      </c>
      <c r="X147" s="3">
        <f t="shared" si="11"/>
        <v>1</v>
      </c>
      <c r="Y147" s="10">
        <f t="shared" si="12"/>
        <v>0</v>
      </c>
      <c r="Z147" s="13">
        <f t="shared" si="13"/>
        <v>0</v>
      </c>
    </row>
    <row r="148" spans="1:26" ht="14.25">
      <c r="A148" s="3">
        <f t="shared" si="19"/>
        <v>146</v>
      </c>
      <c r="B148" s="25">
        <f t="shared" si="20"/>
        <v>42562</v>
      </c>
      <c r="C148" s="5">
        <f>46/86</f>
        <v>0.5348837209302325</v>
      </c>
      <c r="D148" s="5">
        <f t="shared" si="27"/>
        <v>0.4651162790697675</v>
      </c>
      <c r="E148" s="6">
        <f t="shared" si="1"/>
        <v>0.06976744186046502</v>
      </c>
      <c r="F148" s="5">
        <v>0.7047</v>
      </c>
      <c r="G148" s="5">
        <v>0.713</v>
      </c>
      <c r="H148" s="5">
        <v>0.695</v>
      </c>
      <c r="I148" s="13">
        <f t="shared" si="2"/>
        <v>0.018000000000000016</v>
      </c>
      <c r="J148" s="6">
        <f t="shared" si="29"/>
        <v>0</v>
      </c>
      <c r="K148" s="9" t="s">
        <v>150</v>
      </c>
      <c r="L148" s="3">
        <f t="shared" si="4"/>
        <v>0</v>
      </c>
      <c r="M148" s="26">
        <f t="shared" si="30"/>
        <v>0</v>
      </c>
      <c r="N148" s="3">
        <f t="shared" si="31"/>
        <v>1</v>
      </c>
      <c r="O148" s="10">
        <f t="shared" si="7"/>
        <v>1</v>
      </c>
      <c r="P148" s="6">
        <f t="shared" si="14"/>
        <v>0.5</v>
      </c>
      <c r="Q148" s="11">
        <v>2131.72</v>
      </c>
      <c r="R148" s="11">
        <v>2161.74</v>
      </c>
      <c r="S148" s="12">
        <f t="shared" si="8"/>
        <v>30.019999999999982</v>
      </c>
      <c r="T148" s="13">
        <f t="shared" si="9"/>
        <v>0.014082524909462773</v>
      </c>
      <c r="U148" s="6">
        <f t="shared" si="16"/>
        <v>0.6363636363636364</v>
      </c>
      <c r="V148" s="6">
        <f t="shared" si="28"/>
        <v>0.5098039215686274</v>
      </c>
      <c r="W148" s="3">
        <f t="shared" si="10"/>
        <v>0</v>
      </c>
      <c r="X148" s="3">
        <f t="shared" si="11"/>
        <v>1</v>
      </c>
      <c r="Y148" s="10">
        <f t="shared" si="12"/>
        <v>0</v>
      </c>
      <c r="Z148" s="13">
        <f t="shared" si="13"/>
        <v>0</v>
      </c>
    </row>
    <row r="149" spans="1:26" ht="14.25">
      <c r="A149" s="3">
        <f t="shared" si="19"/>
        <v>147</v>
      </c>
      <c r="B149" s="25">
        <f t="shared" si="20"/>
        <v>42569</v>
      </c>
      <c r="C149" s="5">
        <f>26/63</f>
        <v>0.4126984126984127</v>
      </c>
      <c r="D149" s="5">
        <f t="shared" si="27"/>
        <v>0.5873015873015873</v>
      </c>
      <c r="E149" s="6">
        <f t="shared" si="1"/>
        <v>-0.17460317460317465</v>
      </c>
      <c r="F149" s="5">
        <v>0.6984</v>
      </c>
      <c r="G149" s="5">
        <v>0.7095999999999999</v>
      </c>
      <c r="H149" s="5">
        <v>0.6905</v>
      </c>
      <c r="I149" s="13">
        <f t="shared" si="2"/>
        <v>0.019099999999999895</v>
      </c>
      <c r="J149" s="6">
        <f t="shared" si="29"/>
        <v>0</v>
      </c>
      <c r="K149" s="9" t="s">
        <v>144</v>
      </c>
      <c r="L149" s="3">
        <f t="shared" si="4"/>
        <v>0</v>
      </c>
      <c r="M149" s="26">
        <f t="shared" si="30"/>
        <v>0</v>
      </c>
      <c r="N149" s="3">
        <f t="shared" si="31"/>
        <v>0</v>
      </c>
      <c r="O149" s="10">
        <f t="shared" si="7"/>
        <v>1</v>
      </c>
      <c r="P149" s="6">
        <f t="shared" si="14"/>
        <v>0.4965034965034965</v>
      </c>
      <c r="Q149" s="11">
        <v>2162.04</v>
      </c>
      <c r="R149" s="11">
        <v>2175.03</v>
      </c>
      <c r="S149" s="12">
        <f t="shared" si="8"/>
        <v>12.990000000000236</v>
      </c>
      <c r="T149" s="13">
        <f t="shared" si="9"/>
        <v>0.006008214464117332</v>
      </c>
      <c r="U149" s="6">
        <f t="shared" si="16"/>
        <v>0.5454545454545454</v>
      </c>
      <c r="V149" s="6">
        <f t="shared" si="28"/>
        <v>0.5098039215686274</v>
      </c>
      <c r="W149" s="3">
        <f t="shared" si="10"/>
        <v>0</v>
      </c>
      <c r="X149" s="3">
        <f t="shared" si="11"/>
        <v>1</v>
      </c>
      <c r="Y149" s="10">
        <f t="shared" si="12"/>
        <v>0</v>
      </c>
      <c r="Z149" s="13">
        <f t="shared" si="13"/>
        <v>0</v>
      </c>
    </row>
    <row r="150" spans="1:26" ht="14.25">
      <c r="A150" s="3">
        <f t="shared" si="19"/>
        <v>148</v>
      </c>
      <c r="B150" s="25">
        <f t="shared" si="20"/>
        <v>42576</v>
      </c>
      <c r="C150" s="5">
        <f>45/72</f>
        <v>0.625</v>
      </c>
      <c r="D150" s="5">
        <f t="shared" si="27"/>
        <v>0.375</v>
      </c>
      <c r="E150" s="6">
        <f t="shared" si="1"/>
        <v>0.25</v>
      </c>
      <c r="F150" s="5">
        <v>0.6611</v>
      </c>
      <c r="G150" s="5">
        <v>0.65</v>
      </c>
      <c r="H150" s="5">
        <v>0.6796</v>
      </c>
      <c r="I150" s="13">
        <f t="shared" si="2"/>
        <v>-0.02959999999999996</v>
      </c>
      <c r="J150" s="6">
        <f t="shared" si="29"/>
        <v>0</v>
      </c>
      <c r="K150" s="9" t="s">
        <v>137</v>
      </c>
      <c r="L150" s="3">
        <f t="shared" si="4"/>
        <v>0</v>
      </c>
      <c r="M150" s="26">
        <f t="shared" si="30"/>
        <v>0</v>
      </c>
      <c r="N150" s="3">
        <f t="shared" si="31"/>
        <v>0</v>
      </c>
      <c r="O150" s="10">
        <f t="shared" si="7"/>
        <v>0</v>
      </c>
      <c r="P150" s="6">
        <f t="shared" si="14"/>
        <v>0.4930555555555556</v>
      </c>
      <c r="Q150" s="11">
        <v>2173.71</v>
      </c>
      <c r="R150" s="11">
        <v>2173.6</v>
      </c>
      <c r="S150" s="12">
        <f t="shared" si="8"/>
        <v>-0.11000000000012733</v>
      </c>
      <c r="T150" s="13">
        <f t="shared" si="9"/>
        <v>-5.060472648151194E-05</v>
      </c>
      <c r="U150" s="6">
        <f t="shared" si="16"/>
        <v>0.5454545454545454</v>
      </c>
      <c r="V150" s="6">
        <f t="shared" si="28"/>
        <v>0.5098039215686274</v>
      </c>
      <c r="W150" s="3">
        <f t="shared" si="10"/>
        <v>1</v>
      </c>
      <c r="X150" s="3">
        <f t="shared" si="11"/>
        <v>0</v>
      </c>
      <c r="Y150" s="10">
        <f t="shared" si="12"/>
        <v>0</v>
      </c>
      <c r="Z150" s="13">
        <f t="shared" si="13"/>
        <v>0</v>
      </c>
    </row>
    <row r="151" spans="1:26" ht="14.25">
      <c r="A151" s="3">
        <f t="shared" si="19"/>
        <v>149</v>
      </c>
      <c r="B151" s="25">
        <f t="shared" si="20"/>
        <v>42583</v>
      </c>
      <c r="C151" s="5">
        <f>33/70</f>
        <v>0.4714285714285714</v>
      </c>
      <c r="D151" s="5">
        <f t="shared" si="27"/>
        <v>0.5285714285714286</v>
      </c>
      <c r="E151" s="6">
        <f t="shared" si="1"/>
        <v>-0.05714285714285716</v>
      </c>
      <c r="F151" s="5">
        <v>0.6886</v>
      </c>
      <c r="G151" s="5">
        <v>0.6939</v>
      </c>
      <c r="H151" s="5">
        <v>0.6838</v>
      </c>
      <c r="I151" s="13">
        <f t="shared" si="2"/>
        <v>0.010099999999999998</v>
      </c>
      <c r="J151" s="6">
        <f t="shared" si="29"/>
        <v>0</v>
      </c>
      <c r="K151" s="9" t="s">
        <v>130</v>
      </c>
      <c r="L151" s="3">
        <f t="shared" si="4"/>
        <v>0</v>
      </c>
      <c r="M151" s="26">
        <f t="shared" si="30"/>
        <v>0</v>
      </c>
      <c r="N151" s="3">
        <f t="shared" si="31"/>
        <v>0</v>
      </c>
      <c r="O151" s="10">
        <f t="shared" si="7"/>
        <v>1</v>
      </c>
      <c r="P151" s="6">
        <f t="shared" si="14"/>
        <v>0.4896551724137931</v>
      </c>
      <c r="Q151" s="11">
        <v>2173.15</v>
      </c>
      <c r="R151" s="11">
        <v>2182.87</v>
      </c>
      <c r="S151" s="12">
        <f t="shared" si="8"/>
        <v>9.7199999999998</v>
      </c>
      <c r="T151" s="13">
        <f t="shared" si="9"/>
        <v>0.004472769942249637</v>
      </c>
      <c r="U151" s="6">
        <f t="shared" si="16"/>
        <v>0.45454545454545453</v>
      </c>
      <c r="V151" s="6">
        <f t="shared" si="28"/>
        <v>0.49019607843137253</v>
      </c>
      <c r="W151" s="3">
        <f t="shared" si="10"/>
        <v>0</v>
      </c>
      <c r="X151" s="3">
        <f t="shared" si="11"/>
        <v>1</v>
      </c>
      <c r="Y151" s="10">
        <f t="shared" si="12"/>
        <v>0</v>
      </c>
      <c r="Z151" s="13">
        <f t="shared" si="13"/>
        <v>0</v>
      </c>
    </row>
    <row r="152" spans="1:26" ht="14.25">
      <c r="A152" s="3">
        <f t="shared" si="19"/>
        <v>150</v>
      </c>
      <c r="B152" s="25">
        <f t="shared" si="20"/>
        <v>42590</v>
      </c>
      <c r="C152" s="5">
        <f>46/70</f>
        <v>0.6571428571428571</v>
      </c>
      <c r="D152" s="5">
        <f t="shared" si="27"/>
        <v>0.34285714285714286</v>
      </c>
      <c r="E152" s="6">
        <f t="shared" si="1"/>
        <v>0.3142857142857143</v>
      </c>
      <c r="F152" s="5">
        <v>0.6829000000000001</v>
      </c>
      <c r="G152" s="5">
        <v>0.7011</v>
      </c>
      <c r="H152" s="5">
        <v>0.6479</v>
      </c>
      <c r="I152" s="13">
        <f t="shared" si="2"/>
        <v>0.053199999999999914</v>
      </c>
      <c r="J152" s="6">
        <f t="shared" si="29"/>
        <v>0</v>
      </c>
      <c r="K152" s="9" t="s">
        <v>131</v>
      </c>
      <c r="L152" s="3">
        <f t="shared" si="4"/>
        <v>0</v>
      </c>
      <c r="M152" s="26">
        <f t="shared" si="30"/>
        <v>0</v>
      </c>
      <c r="N152" s="3">
        <f t="shared" si="31"/>
        <v>1</v>
      </c>
      <c r="O152" s="10">
        <f t="shared" si="7"/>
        <v>1</v>
      </c>
      <c r="P152" s="6">
        <f t="shared" si="14"/>
        <v>0.4931506849315068</v>
      </c>
      <c r="Q152" s="11">
        <v>2183.76</v>
      </c>
      <c r="R152" s="11">
        <v>2184.05</v>
      </c>
      <c r="S152" s="12">
        <f t="shared" si="8"/>
        <v>0.2899999999999636</v>
      </c>
      <c r="T152" s="13">
        <f t="shared" si="9"/>
        <v>0.00013279847602298952</v>
      </c>
      <c r="U152" s="6">
        <f t="shared" si="16"/>
        <v>0.5454545454545454</v>
      </c>
      <c r="V152" s="6">
        <f t="shared" si="28"/>
        <v>0.5098039215686274</v>
      </c>
      <c r="W152" s="3">
        <f t="shared" si="10"/>
        <v>1</v>
      </c>
      <c r="X152" s="3">
        <f t="shared" si="11"/>
        <v>1</v>
      </c>
      <c r="Y152" s="10">
        <f t="shared" si="12"/>
        <v>1</v>
      </c>
      <c r="Z152" s="13">
        <f t="shared" si="13"/>
        <v>0.00013279847602298952</v>
      </c>
    </row>
    <row r="153" spans="1:26" ht="14.25">
      <c r="A153" s="3">
        <f t="shared" si="19"/>
        <v>151</v>
      </c>
      <c r="B153" s="25">
        <f t="shared" si="20"/>
        <v>42597</v>
      </c>
      <c r="C153" s="5">
        <f>25/56</f>
        <v>0.44642857142857145</v>
      </c>
      <c r="D153" s="5">
        <f t="shared" si="27"/>
        <v>0.5535714285714286</v>
      </c>
      <c r="E153" s="6">
        <f t="shared" si="1"/>
        <v>-0.10714285714285715</v>
      </c>
      <c r="F153" s="5">
        <v>0.6446</v>
      </c>
      <c r="G153" s="5">
        <v>0.64</v>
      </c>
      <c r="H153" s="5">
        <v>0.6484000000000001</v>
      </c>
      <c r="I153" s="13">
        <f t="shared" si="2"/>
        <v>-0.008400000000000074</v>
      </c>
      <c r="J153" s="6">
        <f t="shared" si="29"/>
        <v>0</v>
      </c>
      <c r="K153" s="9" t="s">
        <v>151</v>
      </c>
      <c r="L153" s="3">
        <f t="shared" si="4"/>
        <v>0</v>
      </c>
      <c r="M153" s="26">
        <f t="shared" si="30"/>
        <v>0</v>
      </c>
      <c r="N153" s="3">
        <f t="shared" si="31"/>
        <v>1</v>
      </c>
      <c r="O153" s="10">
        <f t="shared" si="7"/>
        <v>0</v>
      </c>
      <c r="P153" s="6">
        <f t="shared" si="14"/>
        <v>0.4965986394557823</v>
      </c>
      <c r="Q153" s="11">
        <v>2186.08</v>
      </c>
      <c r="R153" s="11">
        <v>2183.87</v>
      </c>
      <c r="S153" s="12">
        <f t="shared" si="8"/>
        <v>-2.2100000000000364</v>
      </c>
      <c r="T153" s="13">
        <f t="shared" si="9"/>
        <v>-0.0010109419600380757</v>
      </c>
      <c r="U153" s="6">
        <f t="shared" si="16"/>
        <v>0.5454545454545454</v>
      </c>
      <c r="V153" s="6">
        <f t="shared" si="28"/>
        <v>0.5294117647058824</v>
      </c>
      <c r="W153" s="3">
        <f t="shared" si="10"/>
        <v>0</v>
      </c>
      <c r="X153" s="3">
        <f t="shared" si="11"/>
        <v>0</v>
      </c>
      <c r="Y153" s="10">
        <f t="shared" si="12"/>
        <v>0</v>
      </c>
      <c r="Z153" s="13">
        <f t="shared" si="13"/>
        <v>0</v>
      </c>
    </row>
    <row r="154" spans="1:26" ht="14.25">
      <c r="A154" s="3">
        <f t="shared" si="19"/>
        <v>152</v>
      </c>
      <c r="B154" s="25">
        <f t="shared" si="20"/>
        <v>42604</v>
      </c>
      <c r="C154" s="5">
        <f>31/70</f>
        <v>0.44285714285714284</v>
      </c>
      <c r="D154" s="5">
        <f t="shared" si="27"/>
        <v>0.5571428571428572</v>
      </c>
      <c r="E154" s="6">
        <f t="shared" si="1"/>
        <v>-0.11428571428571432</v>
      </c>
      <c r="F154" s="5">
        <v>0.6843</v>
      </c>
      <c r="G154" s="5">
        <v>0.679</v>
      </c>
      <c r="H154" s="5">
        <v>0.6884999999999999</v>
      </c>
      <c r="I154" s="13">
        <f t="shared" si="2"/>
        <v>-0.009499999999999842</v>
      </c>
      <c r="J154" s="6">
        <f t="shared" si="29"/>
        <v>0</v>
      </c>
      <c r="K154" s="9" t="s">
        <v>131</v>
      </c>
      <c r="L154" s="3">
        <f t="shared" si="4"/>
        <v>0</v>
      </c>
      <c r="M154" s="26">
        <f t="shared" si="30"/>
        <v>0</v>
      </c>
      <c r="N154" s="3">
        <f t="shared" si="31"/>
        <v>1</v>
      </c>
      <c r="O154" s="10">
        <f t="shared" si="7"/>
        <v>0</v>
      </c>
      <c r="P154" s="6">
        <f t="shared" si="14"/>
        <v>0.5</v>
      </c>
      <c r="Q154" s="11">
        <v>2181.58</v>
      </c>
      <c r="R154" s="11">
        <v>2169.04</v>
      </c>
      <c r="S154" s="12">
        <f t="shared" si="8"/>
        <v>-12.539999999999964</v>
      </c>
      <c r="T154" s="13">
        <f t="shared" si="9"/>
        <v>-0.005748127503919161</v>
      </c>
      <c r="U154" s="6">
        <f t="shared" si="16"/>
        <v>0.5454545454545454</v>
      </c>
      <c r="V154" s="6">
        <f t="shared" si="28"/>
        <v>0.5294117647058824</v>
      </c>
      <c r="W154" s="3">
        <f t="shared" si="10"/>
        <v>0</v>
      </c>
      <c r="X154" s="3">
        <f t="shared" si="11"/>
        <v>0</v>
      </c>
      <c r="Y154" s="10">
        <f t="shared" si="12"/>
        <v>0</v>
      </c>
      <c r="Z154" s="13">
        <f t="shared" si="13"/>
        <v>0</v>
      </c>
    </row>
    <row r="155" spans="1:26" ht="14.25">
      <c r="A155" s="3">
        <f t="shared" si="19"/>
        <v>153</v>
      </c>
      <c r="B155" s="25">
        <f t="shared" si="20"/>
        <v>42611</v>
      </c>
      <c r="C155" s="5">
        <f>19/52</f>
        <v>0.36538461538461536</v>
      </c>
      <c r="D155" s="5">
        <f t="shared" si="27"/>
        <v>0.6346153846153846</v>
      </c>
      <c r="E155" s="6">
        <f t="shared" si="1"/>
        <v>-0.2692307692307692</v>
      </c>
      <c r="F155" s="5">
        <v>0.6686</v>
      </c>
      <c r="G155" s="5">
        <v>0.6289</v>
      </c>
      <c r="H155" s="5">
        <v>0.6922</v>
      </c>
      <c r="I155" s="13">
        <f t="shared" si="2"/>
        <v>-0.06330000000000002</v>
      </c>
      <c r="J155" s="6">
        <f t="shared" si="29"/>
        <v>0</v>
      </c>
      <c r="K155" s="9" t="s">
        <v>152</v>
      </c>
      <c r="L155" s="3">
        <f t="shared" si="4"/>
        <v>0</v>
      </c>
      <c r="M155" s="26">
        <f t="shared" si="30"/>
        <v>0</v>
      </c>
      <c r="N155" s="3">
        <f t="shared" si="31"/>
        <v>0</v>
      </c>
      <c r="O155" s="10">
        <f t="shared" si="7"/>
        <v>1</v>
      </c>
      <c r="P155" s="6">
        <f t="shared" si="14"/>
        <v>0.4966442953020134</v>
      </c>
      <c r="Q155" s="11">
        <v>2170.19</v>
      </c>
      <c r="R155" s="11">
        <v>2179.98</v>
      </c>
      <c r="S155" s="12">
        <f t="shared" si="8"/>
        <v>9.789999999999964</v>
      </c>
      <c r="T155" s="13">
        <f t="shared" si="9"/>
        <v>0.004511125753966226</v>
      </c>
      <c r="U155" s="6">
        <f t="shared" si="16"/>
        <v>0.45454545454545453</v>
      </c>
      <c r="V155" s="6">
        <f t="shared" si="28"/>
        <v>0.5294117647058824</v>
      </c>
      <c r="W155" s="3">
        <f t="shared" si="10"/>
        <v>0</v>
      </c>
      <c r="X155" s="3">
        <f t="shared" si="11"/>
        <v>0</v>
      </c>
      <c r="Y155" s="10">
        <f t="shared" si="12"/>
        <v>0</v>
      </c>
      <c r="Z155" s="13">
        <f t="shared" si="13"/>
        <v>0</v>
      </c>
    </row>
    <row r="156" spans="1:26" ht="14.25">
      <c r="A156" s="3">
        <f t="shared" si="19"/>
        <v>154</v>
      </c>
      <c r="B156" s="25">
        <f t="shared" si="20"/>
        <v>42618</v>
      </c>
      <c r="C156" s="5">
        <f>36/55</f>
        <v>0.6545454545454545</v>
      </c>
      <c r="D156" s="5">
        <f t="shared" si="27"/>
        <v>0.34545454545454546</v>
      </c>
      <c r="E156" s="6">
        <f t="shared" si="1"/>
        <v>0.3090909090909091</v>
      </c>
      <c r="F156" s="5">
        <v>0.6818000000000001</v>
      </c>
      <c r="G156" s="5">
        <v>0.6708</v>
      </c>
      <c r="H156" s="5">
        <v>0.7026</v>
      </c>
      <c r="I156" s="13">
        <f t="shared" si="2"/>
        <v>-0.03180000000000005</v>
      </c>
      <c r="J156" s="6">
        <f t="shared" si="29"/>
        <v>0</v>
      </c>
      <c r="K156" s="9" t="s">
        <v>144</v>
      </c>
      <c r="L156" s="3">
        <f t="shared" si="4"/>
        <v>0</v>
      </c>
      <c r="M156" s="26">
        <f t="shared" si="30"/>
        <v>0</v>
      </c>
      <c r="N156" s="3">
        <f t="shared" si="31"/>
        <v>0</v>
      </c>
      <c r="O156" s="10">
        <f t="shared" si="7"/>
        <v>0</v>
      </c>
      <c r="P156" s="6">
        <f t="shared" si="14"/>
        <v>0.49333333333333335</v>
      </c>
      <c r="Q156" s="11">
        <v>2181.61</v>
      </c>
      <c r="R156" s="11">
        <v>2127.81</v>
      </c>
      <c r="S156" s="12">
        <f t="shared" si="8"/>
        <v>-53.80000000000018</v>
      </c>
      <c r="T156" s="13">
        <f t="shared" si="9"/>
        <v>-0.024660686373824917</v>
      </c>
      <c r="U156" s="6">
        <f t="shared" si="16"/>
        <v>0.36363636363636365</v>
      </c>
      <c r="V156" s="6">
        <f t="shared" si="28"/>
        <v>0.5098039215686274</v>
      </c>
      <c r="W156" s="3">
        <f t="shared" si="10"/>
        <v>1</v>
      </c>
      <c r="X156" s="3">
        <f t="shared" si="11"/>
        <v>0</v>
      </c>
      <c r="Y156" s="10">
        <f t="shared" si="12"/>
        <v>0</v>
      </c>
      <c r="Z156" s="13">
        <f t="shared" si="13"/>
        <v>0</v>
      </c>
    </row>
    <row r="157" spans="1:26" ht="14.25">
      <c r="A157" s="3">
        <f t="shared" si="19"/>
        <v>155</v>
      </c>
      <c r="B157" s="25">
        <f t="shared" si="20"/>
        <v>42625</v>
      </c>
      <c r="C157" s="5">
        <f>28/71</f>
        <v>0.39436619718309857</v>
      </c>
      <c r="D157" s="5">
        <f t="shared" si="27"/>
        <v>0.6056338028169015</v>
      </c>
      <c r="E157" s="6">
        <f t="shared" si="1"/>
        <v>-0.21126760563380292</v>
      </c>
      <c r="F157" s="5">
        <v>0.6845</v>
      </c>
      <c r="G157" s="5">
        <v>0.6446</v>
      </c>
      <c r="H157" s="5">
        <v>0.7105</v>
      </c>
      <c r="I157" s="13">
        <f t="shared" si="2"/>
        <v>-0.06590000000000007</v>
      </c>
      <c r="J157" s="6">
        <f t="shared" si="29"/>
        <v>0</v>
      </c>
      <c r="K157" s="9" t="s">
        <v>130</v>
      </c>
      <c r="L157" s="3">
        <f t="shared" si="4"/>
        <v>0</v>
      </c>
      <c r="M157" s="26">
        <f t="shared" si="30"/>
        <v>0</v>
      </c>
      <c r="N157" s="3">
        <f t="shared" si="31"/>
        <v>0</v>
      </c>
      <c r="O157" s="10">
        <f t="shared" si="7"/>
        <v>1</v>
      </c>
      <c r="P157" s="6">
        <f t="shared" si="14"/>
        <v>0.4900662251655629</v>
      </c>
      <c r="Q157" s="11">
        <v>2120.86</v>
      </c>
      <c r="R157" s="11">
        <v>2139.16</v>
      </c>
      <c r="S157" s="12">
        <f t="shared" si="8"/>
        <v>18.299999999999727</v>
      </c>
      <c r="T157" s="13">
        <f t="shared" si="9"/>
        <v>0.008628575200626033</v>
      </c>
      <c r="U157" s="6">
        <f t="shared" si="16"/>
        <v>0.36363636363636365</v>
      </c>
      <c r="V157" s="6">
        <f t="shared" si="28"/>
        <v>0.49019607843137253</v>
      </c>
      <c r="W157" s="3">
        <f t="shared" si="10"/>
        <v>0</v>
      </c>
      <c r="X157" s="3">
        <f t="shared" si="11"/>
        <v>0</v>
      </c>
      <c r="Y157" s="10">
        <f t="shared" si="12"/>
        <v>0</v>
      </c>
      <c r="Z157" s="13">
        <f t="shared" si="13"/>
        <v>0</v>
      </c>
    </row>
    <row r="158" spans="1:26" ht="14.25">
      <c r="A158" s="3">
        <f t="shared" si="19"/>
        <v>156</v>
      </c>
      <c r="B158" s="25">
        <f t="shared" si="20"/>
        <v>42632</v>
      </c>
      <c r="C158" s="5">
        <f>23/51</f>
        <v>0.45098039215686275</v>
      </c>
      <c r="D158" s="5">
        <f t="shared" si="27"/>
        <v>0.5490196078431373</v>
      </c>
      <c r="E158" s="6">
        <f t="shared" si="1"/>
        <v>-0.09803921568627455</v>
      </c>
      <c r="F158" s="5">
        <v>0.7108</v>
      </c>
      <c r="G158" s="5">
        <v>0.6934999999999999</v>
      </c>
      <c r="H158" s="5">
        <v>0.725</v>
      </c>
      <c r="I158" s="13">
        <f t="shared" si="2"/>
        <v>-0.031500000000000083</v>
      </c>
      <c r="J158" s="6">
        <f t="shared" si="29"/>
        <v>0</v>
      </c>
      <c r="K158" s="9" t="s">
        <v>153</v>
      </c>
      <c r="L158" s="3">
        <f t="shared" si="4"/>
        <v>0</v>
      </c>
      <c r="M158" s="26">
        <f t="shared" si="30"/>
        <v>0</v>
      </c>
      <c r="N158" s="3">
        <f t="shared" si="31"/>
        <v>0</v>
      </c>
      <c r="O158" s="10">
        <f t="shared" si="7"/>
        <v>1</v>
      </c>
      <c r="P158" s="6">
        <f t="shared" si="14"/>
        <v>0.4868421052631579</v>
      </c>
      <c r="Q158" s="11">
        <v>2143.99</v>
      </c>
      <c r="R158" s="11">
        <v>2164.69</v>
      </c>
      <c r="S158" s="12">
        <f t="shared" si="8"/>
        <v>20.700000000000273</v>
      </c>
      <c r="T158" s="13">
        <f t="shared" si="9"/>
        <v>0.00965489577843193</v>
      </c>
      <c r="U158" s="6">
        <f t="shared" si="16"/>
        <v>0.36363636363636365</v>
      </c>
      <c r="V158" s="6">
        <f t="shared" si="28"/>
        <v>0.47058823529411764</v>
      </c>
      <c r="W158" s="3">
        <f t="shared" si="10"/>
        <v>0</v>
      </c>
      <c r="X158" s="3">
        <f t="shared" si="11"/>
        <v>0</v>
      </c>
      <c r="Y158" s="10">
        <f t="shared" si="12"/>
        <v>0</v>
      </c>
      <c r="Z158" s="13">
        <f t="shared" si="13"/>
        <v>0</v>
      </c>
    </row>
    <row r="159" spans="1:26" ht="14.25">
      <c r="A159" s="3">
        <f t="shared" si="19"/>
        <v>157</v>
      </c>
      <c r="B159" s="25">
        <f t="shared" si="20"/>
        <v>42639</v>
      </c>
      <c r="C159" s="5">
        <f>32/68</f>
        <v>0.47058823529411764</v>
      </c>
      <c r="D159" s="5">
        <f t="shared" si="27"/>
        <v>0.5294117647058824</v>
      </c>
      <c r="E159" s="6">
        <f t="shared" si="1"/>
        <v>-0.05882352941176472</v>
      </c>
      <c r="F159" s="5">
        <v>0.6912</v>
      </c>
      <c r="G159" s="5">
        <v>0.7172</v>
      </c>
      <c r="H159" s="5">
        <v>0.6681</v>
      </c>
      <c r="I159" s="13">
        <f t="shared" si="2"/>
        <v>0.04909999999999992</v>
      </c>
      <c r="J159" s="6">
        <f t="shared" si="29"/>
        <v>0</v>
      </c>
      <c r="K159" s="9" t="s">
        <v>154</v>
      </c>
      <c r="L159" s="3">
        <f t="shared" si="4"/>
        <v>0</v>
      </c>
      <c r="M159" s="26">
        <f t="shared" si="30"/>
        <v>0</v>
      </c>
      <c r="N159" s="3">
        <f t="shared" si="31"/>
        <v>0</v>
      </c>
      <c r="O159" s="10">
        <f t="shared" si="7"/>
        <v>1</v>
      </c>
      <c r="P159" s="6">
        <f t="shared" si="14"/>
        <v>0.48366013071895425</v>
      </c>
      <c r="Q159" s="11">
        <v>2158.54</v>
      </c>
      <c r="R159" s="11">
        <v>2168.27</v>
      </c>
      <c r="S159" s="12">
        <f t="shared" si="8"/>
        <v>9.730000000000018</v>
      </c>
      <c r="T159" s="13">
        <f t="shared" si="9"/>
        <v>0.004507676485031558</v>
      </c>
      <c r="U159" s="6">
        <f t="shared" si="16"/>
        <v>0.2727272727272727</v>
      </c>
      <c r="V159" s="6">
        <f t="shared" si="28"/>
        <v>0.45098039215686275</v>
      </c>
      <c r="W159" s="3">
        <f t="shared" si="10"/>
        <v>0</v>
      </c>
      <c r="X159" s="3">
        <f t="shared" si="11"/>
        <v>1</v>
      </c>
      <c r="Y159" s="10">
        <f t="shared" si="12"/>
        <v>0</v>
      </c>
      <c r="Z159" s="13">
        <f t="shared" si="13"/>
        <v>0</v>
      </c>
    </row>
    <row r="160" spans="1:26" ht="14.25">
      <c r="A160" s="3">
        <f t="shared" si="19"/>
        <v>158</v>
      </c>
      <c r="B160" s="25">
        <f t="shared" si="20"/>
        <v>42646</v>
      </c>
      <c r="C160" s="5">
        <f>28/59</f>
        <v>0.4745762711864407</v>
      </c>
      <c r="D160" s="5">
        <f t="shared" si="27"/>
        <v>0.5254237288135593</v>
      </c>
      <c r="E160" s="6">
        <f t="shared" si="1"/>
        <v>-0.050847457627118564</v>
      </c>
      <c r="F160" s="5">
        <v>0.7068000000000001</v>
      </c>
      <c r="G160" s="5">
        <v>0.725</v>
      </c>
      <c r="H160" s="5">
        <v>0.6903</v>
      </c>
      <c r="I160" s="13">
        <f t="shared" si="2"/>
        <v>0.03469999999999995</v>
      </c>
      <c r="J160" s="6">
        <f t="shared" si="29"/>
        <v>0</v>
      </c>
      <c r="K160" s="9" t="s">
        <v>139</v>
      </c>
      <c r="L160" s="3">
        <f t="shared" si="4"/>
        <v>0</v>
      </c>
      <c r="M160" s="26">
        <f t="shared" si="30"/>
        <v>0</v>
      </c>
      <c r="N160" s="3">
        <f t="shared" si="31"/>
        <v>1</v>
      </c>
      <c r="O160" s="10">
        <f t="shared" si="7"/>
        <v>0</v>
      </c>
      <c r="P160" s="6">
        <f t="shared" si="14"/>
        <v>0.487012987012987</v>
      </c>
      <c r="Q160" s="11">
        <v>2164.33</v>
      </c>
      <c r="R160" s="11">
        <v>2153.74</v>
      </c>
      <c r="S160" s="12">
        <f t="shared" si="8"/>
        <v>-10.590000000000146</v>
      </c>
      <c r="T160" s="13">
        <f t="shared" si="9"/>
        <v>-0.004892969186769183</v>
      </c>
      <c r="U160" s="6">
        <f t="shared" si="16"/>
        <v>0.36363636363636365</v>
      </c>
      <c r="V160" s="6">
        <f t="shared" si="28"/>
        <v>0.47058823529411764</v>
      </c>
      <c r="W160" s="3">
        <f t="shared" si="10"/>
        <v>0</v>
      </c>
      <c r="X160" s="3">
        <f t="shared" si="11"/>
        <v>1</v>
      </c>
      <c r="Y160" s="10">
        <f t="shared" si="12"/>
        <v>0</v>
      </c>
      <c r="Z160" s="13">
        <f t="shared" si="13"/>
        <v>0</v>
      </c>
    </row>
    <row r="161" spans="1:26" ht="14.25">
      <c r="A161" s="3">
        <f t="shared" si="19"/>
        <v>159</v>
      </c>
      <c r="B161" s="25">
        <f t="shared" si="20"/>
        <v>42653</v>
      </c>
      <c r="C161" s="5">
        <f>21/43</f>
        <v>0.4883720930232558</v>
      </c>
      <c r="D161" s="5">
        <f t="shared" si="27"/>
        <v>0.5116279069767442</v>
      </c>
      <c r="E161" s="6">
        <f t="shared" si="1"/>
        <v>-0.023255813953488413</v>
      </c>
      <c r="F161" s="5">
        <v>0.6557999999999999</v>
      </c>
      <c r="G161" s="5">
        <v>0.6570999999999999</v>
      </c>
      <c r="H161" s="5">
        <v>0.6545000000000001</v>
      </c>
      <c r="I161" s="13">
        <f t="shared" si="2"/>
        <v>0.0025999999999998247</v>
      </c>
      <c r="J161" s="6">
        <f t="shared" si="29"/>
        <v>0</v>
      </c>
      <c r="K161" s="9" t="s">
        <v>155</v>
      </c>
      <c r="L161" s="3">
        <f t="shared" si="4"/>
        <v>0</v>
      </c>
      <c r="M161" s="26">
        <f t="shared" si="30"/>
        <v>0</v>
      </c>
      <c r="N161" s="3">
        <f t="shared" si="31"/>
        <v>1</v>
      </c>
      <c r="O161" s="10">
        <f t="shared" si="7"/>
        <v>0</v>
      </c>
      <c r="P161" s="6">
        <f t="shared" si="14"/>
        <v>0.49032258064516127</v>
      </c>
      <c r="Q161" s="11">
        <v>2160.39</v>
      </c>
      <c r="R161" s="11">
        <v>2132.98</v>
      </c>
      <c r="S161" s="12">
        <f t="shared" si="8"/>
        <v>-27.409999999999854</v>
      </c>
      <c r="T161" s="13">
        <f t="shared" si="9"/>
        <v>-0.012687524011868161</v>
      </c>
      <c r="U161" s="6">
        <f t="shared" si="16"/>
        <v>0.45454545454545453</v>
      </c>
      <c r="V161" s="6">
        <f t="shared" si="28"/>
        <v>0.47058823529411764</v>
      </c>
      <c r="W161" s="3">
        <f t="shared" si="10"/>
        <v>0</v>
      </c>
      <c r="X161" s="3">
        <f t="shared" si="11"/>
        <v>1</v>
      </c>
      <c r="Y161" s="10">
        <f t="shared" si="12"/>
        <v>0</v>
      </c>
      <c r="Z161" s="13">
        <f t="shared" si="13"/>
        <v>0</v>
      </c>
    </row>
    <row r="162" spans="1:26" ht="14.25">
      <c r="A162" s="3">
        <f t="shared" si="19"/>
        <v>160</v>
      </c>
      <c r="B162" s="25">
        <f t="shared" si="20"/>
        <v>42660</v>
      </c>
      <c r="C162" s="5">
        <f>27/77</f>
        <v>0.35064935064935066</v>
      </c>
      <c r="D162" s="5">
        <f t="shared" si="27"/>
        <v>0.6493506493506493</v>
      </c>
      <c r="E162" s="6">
        <f t="shared" si="1"/>
        <v>-0.2987012987012987</v>
      </c>
      <c r="F162" s="5">
        <v>0.6805</v>
      </c>
      <c r="G162" s="5">
        <v>0.6833</v>
      </c>
      <c r="H162" s="5">
        <v>0.679</v>
      </c>
      <c r="I162" s="13">
        <f t="shared" si="2"/>
        <v>0.0042999999999999705</v>
      </c>
      <c r="J162" s="6">
        <f t="shared" si="29"/>
        <v>0</v>
      </c>
      <c r="K162" s="9" t="s">
        <v>156</v>
      </c>
      <c r="L162" s="3">
        <f t="shared" si="4"/>
        <v>0</v>
      </c>
      <c r="M162" s="26">
        <f t="shared" si="30"/>
        <v>0</v>
      </c>
      <c r="N162" s="3">
        <f t="shared" si="31"/>
        <v>0</v>
      </c>
      <c r="O162" s="10">
        <f t="shared" si="7"/>
        <v>1</v>
      </c>
      <c r="P162" s="6">
        <f t="shared" si="14"/>
        <v>0.48717948717948717</v>
      </c>
      <c r="Q162" s="11">
        <v>2132.95</v>
      </c>
      <c r="R162" s="11">
        <v>2141.16</v>
      </c>
      <c r="S162" s="12">
        <f t="shared" si="8"/>
        <v>8.210000000000036</v>
      </c>
      <c r="T162" s="13">
        <f t="shared" si="9"/>
        <v>0.003849129140392432</v>
      </c>
      <c r="U162" s="6">
        <f t="shared" si="16"/>
        <v>0.45454545454545453</v>
      </c>
      <c r="V162" s="6">
        <f t="shared" si="28"/>
        <v>0.45098039215686275</v>
      </c>
      <c r="W162" s="3">
        <f t="shared" si="10"/>
        <v>0</v>
      </c>
      <c r="X162" s="3">
        <f t="shared" si="11"/>
        <v>1</v>
      </c>
      <c r="Y162" s="10">
        <f t="shared" si="12"/>
        <v>0</v>
      </c>
      <c r="Z162" s="13">
        <f t="shared" si="13"/>
        <v>0</v>
      </c>
    </row>
    <row r="163" spans="1:26" ht="14.25">
      <c r="A163" s="3">
        <f t="shared" si="19"/>
        <v>161</v>
      </c>
      <c r="B163" s="25">
        <f t="shared" si="20"/>
        <v>42667</v>
      </c>
      <c r="C163" s="5">
        <f>29/59</f>
        <v>0.4915254237288136</v>
      </c>
      <c r="D163" s="5">
        <f t="shared" si="27"/>
        <v>0.5084745762711864</v>
      </c>
      <c r="E163" s="6">
        <f t="shared" si="1"/>
        <v>-0.016949152542372836</v>
      </c>
      <c r="F163" s="5">
        <v>0.6593000000000001</v>
      </c>
      <c r="G163" s="5">
        <v>0.6534</v>
      </c>
      <c r="H163" s="5">
        <v>0.665</v>
      </c>
      <c r="I163" s="13">
        <f t="shared" si="2"/>
        <v>-0.011600000000000055</v>
      </c>
      <c r="J163" s="6">
        <f t="shared" si="29"/>
        <v>0</v>
      </c>
      <c r="K163" s="9" t="s">
        <v>132</v>
      </c>
      <c r="L163" s="3">
        <f t="shared" si="4"/>
        <v>0</v>
      </c>
      <c r="M163" s="26">
        <f t="shared" si="30"/>
        <v>0</v>
      </c>
      <c r="N163" s="3">
        <f t="shared" si="31"/>
        <v>1</v>
      </c>
      <c r="O163" s="10">
        <f t="shared" si="7"/>
        <v>0</v>
      </c>
      <c r="P163" s="6">
        <f t="shared" si="14"/>
        <v>0.49044585987261147</v>
      </c>
      <c r="Q163" s="11">
        <v>2148.5</v>
      </c>
      <c r="R163" s="11">
        <v>2126.41</v>
      </c>
      <c r="S163" s="12">
        <f t="shared" si="8"/>
        <v>-22.090000000000146</v>
      </c>
      <c r="T163" s="13">
        <f t="shared" si="9"/>
        <v>-0.010281591808238373</v>
      </c>
      <c r="U163" s="6">
        <f t="shared" si="16"/>
        <v>0.45454545454545453</v>
      </c>
      <c r="V163" s="6">
        <f t="shared" si="28"/>
        <v>0.47058823529411764</v>
      </c>
      <c r="W163" s="3">
        <f t="shared" si="10"/>
        <v>0</v>
      </c>
      <c r="X163" s="3">
        <f t="shared" si="11"/>
        <v>0</v>
      </c>
      <c r="Y163" s="10">
        <f t="shared" si="12"/>
        <v>0</v>
      </c>
      <c r="Z163" s="13">
        <f t="shared" si="13"/>
        <v>0</v>
      </c>
    </row>
    <row r="164" spans="1:26" ht="14.25">
      <c r="A164" s="3">
        <f t="shared" si="19"/>
        <v>162</v>
      </c>
      <c r="B164" s="25">
        <f t="shared" si="20"/>
        <v>42674</v>
      </c>
      <c r="C164" s="5">
        <f>40/87</f>
        <v>0.45977011494252873</v>
      </c>
      <c r="D164" s="5">
        <f t="shared" si="27"/>
        <v>0.5402298850574713</v>
      </c>
      <c r="E164" s="6">
        <f t="shared" si="1"/>
        <v>-0.08045977011494254</v>
      </c>
      <c r="F164" s="5">
        <v>0.696</v>
      </c>
      <c r="G164" s="5">
        <v>0.6725</v>
      </c>
      <c r="H164" s="5">
        <v>0.716</v>
      </c>
      <c r="I164" s="13">
        <f t="shared" si="2"/>
        <v>-0.04349999999999998</v>
      </c>
      <c r="J164" s="6">
        <f t="shared" si="29"/>
        <v>0</v>
      </c>
      <c r="K164" s="9" t="s">
        <v>144</v>
      </c>
      <c r="L164" s="3">
        <f t="shared" si="4"/>
        <v>0</v>
      </c>
      <c r="M164" s="26">
        <f t="shared" si="30"/>
        <v>0</v>
      </c>
      <c r="N164" s="3">
        <f t="shared" si="31"/>
        <v>1</v>
      </c>
      <c r="O164" s="10">
        <f t="shared" si="7"/>
        <v>0</v>
      </c>
      <c r="P164" s="6">
        <f t="shared" si="14"/>
        <v>0.4936708860759494</v>
      </c>
      <c r="Q164" s="11">
        <v>2129.78</v>
      </c>
      <c r="R164" s="11">
        <v>2085.18</v>
      </c>
      <c r="S164" s="12">
        <f t="shared" si="8"/>
        <v>-44.600000000000364</v>
      </c>
      <c r="T164" s="13">
        <f t="shared" si="9"/>
        <v>-0.020941130069772634</v>
      </c>
      <c r="U164" s="6">
        <f t="shared" si="16"/>
        <v>0.45454545454545453</v>
      </c>
      <c r="V164" s="6">
        <f t="shared" si="28"/>
        <v>0.49019607843137253</v>
      </c>
      <c r="W164" s="3">
        <f t="shared" si="10"/>
        <v>0</v>
      </c>
      <c r="X164" s="3">
        <f t="shared" si="11"/>
        <v>0</v>
      </c>
      <c r="Y164" s="10">
        <f t="shared" si="12"/>
        <v>0</v>
      </c>
      <c r="Z164" s="13">
        <f t="shared" si="13"/>
        <v>0</v>
      </c>
    </row>
    <row r="165" spans="1:26" ht="14.25">
      <c r="A165" s="3">
        <v>163</v>
      </c>
      <c r="B165" s="25">
        <f t="shared" si="20"/>
        <v>42681</v>
      </c>
      <c r="C165" s="5">
        <f>33/67</f>
        <v>0.4925373134328358</v>
      </c>
      <c r="D165" s="5">
        <f t="shared" si="27"/>
        <v>0.5074626865671642</v>
      </c>
      <c r="E165" s="6">
        <f t="shared" si="1"/>
        <v>-0.014925373134328401</v>
      </c>
      <c r="F165" s="5">
        <v>0.706</v>
      </c>
      <c r="G165" s="5">
        <v>0.6818000000000001</v>
      </c>
      <c r="H165" s="5">
        <v>0.7293999999999999</v>
      </c>
      <c r="I165" s="13">
        <f t="shared" si="2"/>
        <v>-0.047599999999999865</v>
      </c>
      <c r="J165" s="6">
        <f t="shared" si="29"/>
        <v>0</v>
      </c>
      <c r="K165" s="9" t="s">
        <v>140</v>
      </c>
      <c r="L165" s="3">
        <f t="shared" si="4"/>
        <v>0</v>
      </c>
      <c r="M165" s="26">
        <f t="shared" si="30"/>
        <v>0</v>
      </c>
      <c r="N165" s="3">
        <f t="shared" si="31"/>
        <v>0</v>
      </c>
      <c r="O165" s="10">
        <f t="shared" si="7"/>
        <v>1</v>
      </c>
      <c r="P165" s="6">
        <f t="shared" si="14"/>
        <v>0.49056603773584906</v>
      </c>
      <c r="Q165" s="11">
        <v>2100.59</v>
      </c>
      <c r="R165" s="11">
        <v>2164.45</v>
      </c>
      <c r="S165" s="12">
        <f t="shared" si="8"/>
        <v>63.85999999999967</v>
      </c>
      <c r="T165" s="13">
        <f t="shared" si="9"/>
        <v>0.030400982581084205</v>
      </c>
      <c r="U165" s="6">
        <f t="shared" si="16"/>
        <v>0.36363636363636365</v>
      </c>
      <c r="V165" s="6">
        <f t="shared" si="28"/>
        <v>0.49019607843137253</v>
      </c>
      <c r="W165" s="3">
        <f t="shared" si="10"/>
        <v>0</v>
      </c>
      <c r="X165" s="3">
        <f t="shared" si="11"/>
        <v>0</v>
      </c>
      <c r="Y165" s="10">
        <f t="shared" si="12"/>
        <v>0</v>
      </c>
      <c r="Z165" s="13">
        <f t="shared" si="13"/>
        <v>0</v>
      </c>
    </row>
    <row r="166" spans="1:26" ht="14.25">
      <c r="A166" s="3">
        <v>164</v>
      </c>
      <c r="B166" s="25">
        <f t="shared" si="20"/>
        <v>42688</v>
      </c>
      <c r="C166" s="5">
        <f>49/70</f>
        <v>0.7</v>
      </c>
      <c r="D166" s="5">
        <f t="shared" si="27"/>
        <v>0.30000000000000004</v>
      </c>
      <c r="E166" s="6">
        <f t="shared" si="1"/>
        <v>0.3999999999999999</v>
      </c>
      <c r="F166" s="5">
        <v>0.7114</v>
      </c>
      <c r="G166" s="5">
        <v>0.7081999999999999</v>
      </c>
      <c r="H166" s="5">
        <v>0.7190000000000001</v>
      </c>
      <c r="I166" s="13">
        <f t="shared" si="2"/>
        <v>-0.010800000000000143</v>
      </c>
      <c r="J166" s="6">
        <f t="shared" si="29"/>
        <v>0</v>
      </c>
      <c r="K166" s="9" t="s">
        <v>137</v>
      </c>
      <c r="L166" s="3" t="str">
        <f t="shared" si="4"/>
        <v>Higher</v>
      </c>
      <c r="M166" s="26">
        <f t="shared" si="30"/>
        <v>0</v>
      </c>
      <c r="N166" s="3">
        <f t="shared" si="31"/>
        <v>1</v>
      </c>
      <c r="O166" s="10">
        <f t="shared" si="7"/>
        <v>1</v>
      </c>
      <c r="P166" s="6">
        <f t="shared" si="14"/>
        <v>0.49375</v>
      </c>
      <c r="Q166" s="11">
        <v>2165.64</v>
      </c>
      <c r="R166" s="11">
        <v>2181.9</v>
      </c>
      <c r="S166" s="12">
        <f t="shared" si="8"/>
        <v>16.26000000000022</v>
      </c>
      <c r="T166" s="13">
        <f t="shared" si="9"/>
        <v>0.00750817310356302</v>
      </c>
      <c r="U166" s="6">
        <f t="shared" si="16"/>
        <v>0.45454545454545453</v>
      </c>
      <c r="V166" s="6">
        <f t="shared" si="28"/>
        <v>0.49019607843137253</v>
      </c>
      <c r="W166" s="3">
        <f t="shared" si="10"/>
        <v>1</v>
      </c>
      <c r="X166" s="3">
        <f t="shared" si="11"/>
        <v>0</v>
      </c>
      <c r="Y166" s="10">
        <f t="shared" si="12"/>
        <v>0</v>
      </c>
      <c r="Z166" s="13">
        <f t="shared" si="13"/>
        <v>0</v>
      </c>
    </row>
    <row r="167" spans="1:24" ht="14.25">
      <c r="A167" s="3">
        <f>A166+1</f>
        <v>165</v>
      </c>
      <c r="B167" s="25">
        <f t="shared" si="20"/>
        <v>42695</v>
      </c>
      <c r="C167" s="5">
        <f>42/65</f>
        <v>0.6461538461538462</v>
      </c>
      <c r="D167" s="5">
        <f t="shared" si="27"/>
        <v>0.3538461538461538</v>
      </c>
      <c r="E167" s="6">
        <f t="shared" si="1"/>
        <v>0.2923076923076924</v>
      </c>
      <c r="F167" s="5">
        <v>0.6727</v>
      </c>
      <c r="G167" s="5">
        <v>0.6820999999999999</v>
      </c>
      <c r="H167" s="5">
        <v>0.6545000000000001</v>
      </c>
      <c r="I167" s="13">
        <f t="shared" si="2"/>
        <v>0.027599999999999847</v>
      </c>
      <c r="J167" s="6">
        <f t="shared" si="29"/>
        <v>0</v>
      </c>
      <c r="K167" s="9" t="s">
        <v>140</v>
      </c>
      <c r="L167" s="3" t="s">
        <v>157</v>
      </c>
      <c r="M167" s="3" t="s">
        <v>157</v>
      </c>
      <c r="W167" s="3">
        <f t="shared" si="10"/>
        <v>1</v>
      </c>
      <c r="X167" s="3">
        <f t="shared" si="11"/>
        <v>1</v>
      </c>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E28" sqref="A1:V167"/>
    </sheetView>
  </sheetViews>
  <sheetFormatPr defaultColWidth="11.421875" defaultRowHeight="12.75"/>
  <cols>
    <col min="1" max="16384" width="11.57421875" style="0" customWidth="1"/>
  </cols>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3238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2016-11-21T01:08:36Z</dcterms:modified>
  <cp:category/>
  <cp:version/>
  <cp:contentType/>
  <cp:contentStatus/>
  <cp:revision>642</cp:revision>
</cp:coreProperties>
</file>